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6240" activeTab="0"/>
  </bookViews>
  <sheets>
    <sheet name="QUICK DOMENICO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'QUICK DOMENICO'!$A$1:$L$39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E37" authorId="0">
      <text>
        <r>
          <rPr>
            <sz val="8"/>
            <rFont val="Tahoma"/>
            <family val="0"/>
          </rPr>
          <t xml:space="preserve">Enter the </t>
        </r>
        <r>
          <rPr>
            <u val="single"/>
            <sz val="8"/>
            <rFont val="Tahoma"/>
            <family val="2"/>
          </rPr>
          <t>plume centerline</t>
        </r>
        <r>
          <rPr>
            <sz val="8"/>
            <rFont val="Tahoma"/>
            <family val="0"/>
          </rPr>
          <t xml:space="preserve"> concentration in this cell and its  distance from the source in the cell directly below.   Values are automatically plotted on charts above  to facilitate a comparison of model output and field data for the centerline of the plume.
</t>
        </r>
      </text>
    </comment>
  </commentList>
</comments>
</file>

<file path=xl/sharedStrings.xml><?xml version="1.0" encoding="utf-8"?>
<sst xmlns="http://schemas.openxmlformats.org/spreadsheetml/2006/main" count="69" uniqueCount="59">
  <si>
    <t>Project:</t>
  </si>
  <si>
    <t>Date:</t>
  </si>
  <si>
    <t>Prepared by:</t>
  </si>
  <si>
    <t>Contaminant:</t>
  </si>
  <si>
    <t>Benzene</t>
  </si>
  <si>
    <t>SOURCE</t>
  </si>
  <si>
    <t>Ax</t>
  </si>
  <si>
    <t>Ay</t>
  </si>
  <si>
    <t>Az</t>
  </si>
  <si>
    <t>LAMBDA</t>
  </si>
  <si>
    <t xml:space="preserve">SOURCE </t>
  </si>
  <si>
    <t>CONC</t>
  </si>
  <si>
    <t>(ft)</t>
  </si>
  <si>
    <t>WIDTH</t>
  </si>
  <si>
    <t>THICKNESS</t>
  </si>
  <si>
    <t>(MG/L)</t>
  </si>
  <si>
    <t>&gt;=.001</t>
  </si>
  <si>
    <t>day-1</t>
  </si>
  <si>
    <t xml:space="preserve"> </t>
  </si>
  <si>
    <t>Hydraulic</t>
  </si>
  <si>
    <t>Soil Bulk</t>
  </si>
  <si>
    <t>Frac.</t>
  </si>
  <si>
    <t>Retard-</t>
  </si>
  <si>
    <t>V</t>
  </si>
  <si>
    <t>Cond</t>
  </si>
  <si>
    <t>Gradient</t>
  </si>
  <si>
    <t>Porosity</t>
  </si>
  <si>
    <t>Density</t>
  </si>
  <si>
    <t xml:space="preserve">  KOC</t>
  </si>
  <si>
    <t>Org. Carb.</t>
  </si>
  <si>
    <t>ation</t>
  </si>
  <si>
    <t>(=K*i/n*R)</t>
  </si>
  <si>
    <t>(ft/day)</t>
  </si>
  <si>
    <t>(ft/ft)</t>
  </si>
  <si>
    <t>(dec. frac.)</t>
  </si>
  <si>
    <r>
      <t>(g/cm</t>
    </r>
    <r>
      <rPr>
        <b/>
        <vertAlign val="superscript"/>
        <sz val="8"/>
        <rFont val="Arial"/>
        <family val="2"/>
      </rPr>
      <t>3)</t>
    </r>
  </si>
  <si>
    <t xml:space="preserve">      (R)</t>
  </si>
  <si>
    <t>y(ft)</t>
  </si>
  <si>
    <t>z(ft)</t>
  </si>
  <si>
    <t>(days)</t>
  </si>
  <si>
    <t>at</t>
  </si>
  <si>
    <t>mg/l</t>
  </si>
  <si>
    <t>AREAL</t>
  </si>
  <si>
    <t>CALCULATION</t>
  </si>
  <si>
    <t>MODEL</t>
  </si>
  <si>
    <t>DOMAIN</t>
  </si>
  <si>
    <t>Length (ft)</t>
  </si>
  <si>
    <t>Width (ft)</t>
  </si>
  <si>
    <t xml:space="preserve">Field Data: </t>
  </si>
  <si>
    <t>Centerline Conc.</t>
  </si>
  <si>
    <t>Concentration</t>
  </si>
  <si>
    <t>Distance from Source</t>
  </si>
  <si>
    <t>ADVECTIVE TRANSPORT WITH THREE DIMENSIONAL DISPERSION,1ST ORDER DECAY and RETARDATION - WITH CALIBRATION TOOL</t>
  </si>
  <si>
    <t>Conc. At</t>
  </si>
  <si>
    <t>x(ft)</t>
  </si>
  <si>
    <t>Point Concentration</t>
  </si>
  <si>
    <t xml:space="preserve">days = </t>
  </si>
  <si>
    <t>Time (days)</t>
  </si>
  <si>
    <t>Test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</si>
</sst>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indexed="3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0"/>
    </font>
    <font>
      <u val="single"/>
      <sz val="8"/>
      <name val="Tahoma"/>
      <family val="2"/>
    </font>
    <font>
      <b/>
      <sz val="12"/>
      <color indexed="12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5.5"/>
      <color indexed="8"/>
      <name val="M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M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 applyProtection="1">
      <alignment/>
      <protection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0" fontId="6" fillId="36" borderId="20" xfId="0" applyFont="1" applyFill="1" applyBorder="1" applyAlignment="1" applyProtection="1">
      <alignment/>
      <protection locked="0"/>
    </xf>
    <xf numFmtId="0" fontId="5" fillId="36" borderId="18" xfId="0" applyFont="1" applyFill="1" applyBorder="1" applyAlignment="1" applyProtection="1">
      <alignment/>
      <protection locked="0"/>
    </xf>
    <xf numFmtId="0" fontId="5" fillId="36" borderId="19" xfId="0" applyFont="1" applyFill="1" applyBorder="1" applyAlignment="1" applyProtection="1">
      <alignment/>
      <protection locked="0"/>
    </xf>
    <xf numFmtId="11" fontId="5" fillId="36" borderId="0" xfId="0" applyNumberFormat="1" applyFont="1" applyFill="1" applyBorder="1" applyAlignment="1" applyProtection="1">
      <alignment/>
      <protection locked="0"/>
    </xf>
    <xf numFmtId="0" fontId="5" fillId="36" borderId="0" xfId="0" applyFont="1" applyFill="1" applyBorder="1" applyAlignment="1" applyProtection="1">
      <alignment/>
      <protection locked="0"/>
    </xf>
    <xf numFmtId="0" fontId="5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0" fillId="37" borderId="0" xfId="0" applyFill="1" applyAlignment="1">
      <alignment/>
    </xf>
    <xf numFmtId="0" fontId="8" fillId="0" borderId="0" xfId="0" applyFont="1" applyAlignment="1">
      <alignment wrapText="1"/>
    </xf>
    <xf numFmtId="0" fontId="11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6" borderId="18" xfId="0" applyFill="1" applyBorder="1" applyAlignment="1" applyProtection="1">
      <alignment/>
      <protection locked="0"/>
    </xf>
    <xf numFmtId="14" fontId="5" fillId="36" borderId="21" xfId="0" applyNumberFormat="1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11" fontId="5" fillId="36" borderId="18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165" fontId="10" fillId="33" borderId="22" xfId="0" applyNumberFormat="1" applyFont="1" applyFill="1" applyBorder="1" applyAlignment="1">
      <alignment/>
    </xf>
    <xf numFmtId="165" fontId="10" fillId="33" borderId="19" xfId="0" applyNumberFormat="1" applyFont="1" applyFill="1" applyBorder="1" applyAlignment="1">
      <alignment/>
    </xf>
    <xf numFmtId="0" fontId="5" fillId="36" borderId="20" xfId="0" applyFont="1" applyFill="1" applyBorder="1" applyAlignment="1" applyProtection="1">
      <alignment/>
      <protection locked="0"/>
    </xf>
    <xf numFmtId="0" fontId="0" fillId="36" borderId="20" xfId="0" applyFill="1" applyBorder="1" applyAlignment="1" applyProtection="1" quotePrefix="1">
      <alignment horizontal="left"/>
      <protection locked="0"/>
    </xf>
    <xf numFmtId="0" fontId="12" fillId="34" borderId="0" xfId="0" applyFont="1" applyFill="1" applyAlignment="1" quotePrefix="1">
      <alignment horizontal="left"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2" fillId="37" borderId="0" xfId="0" applyFont="1" applyFill="1" applyAlignment="1" quotePrefix="1">
      <alignment horizontal="left"/>
    </xf>
    <xf numFmtId="0" fontId="5" fillId="33" borderId="21" xfId="0" applyFont="1" applyFill="1" applyBorder="1" applyAlignment="1">
      <alignment/>
    </xf>
    <xf numFmtId="0" fontId="8" fillId="36" borderId="21" xfId="0" applyFont="1" applyFill="1" applyBorder="1" applyAlignment="1" applyProtection="1">
      <alignment/>
      <protection locked="0"/>
    </xf>
    <xf numFmtId="0" fontId="0" fillId="36" borderId="21" xfId="0" applyFill="1" applyBorder="1" applyAlignment="1" applyProtection="1">
      <alignment/>
      <protection locked="0"/>
    </xf>
    <xf numFmtId="0" fontId="5" fillId="35" borderId="0" xfId="0" applyFont="1" applyFill="1" applyAlignment="1" quotePrefix="1">
      <alignment horizontal="left"/>
    </xf>
    <xf numFmtId="0" fontId="1" fillId="0" borderId="15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36" borderId="21" xfId="0" applyFont="1" applyFill="1" applyBorder="1" applyAlignment="1" applyProtection="1">
      <alignment/>
      <protection locked="0"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33" borderId="25" xfId="0" applyFont="1" applyFill="1" applyBorder="1" applyAlignment="1">
      <alignment/>
    </xf>
    <xf numFmtId="0" fontId="1" fillId="38" borderId="27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38" borderId="16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9" xfId="0" applyBorder="1" applyAlignment="1">
      <alignment/>
    </xf>
    <xf numFmtId="0" fontId="5" fillId="33" borderId="20" xfId="0" applyFont="1" applyFill="1" applyBorder="1" applyAlignment="1">
      <alignment/>
    </xf>
    <xf numFmtId="0" fontId="8" fillId="0" borderId="16" xfId="0" applyFont="1" applyBorder="1" applyAlignment="1">
      <alignment/>
    </xf>
    <xf numFmtId="0" fontId="5" fillId="36" borderId="26" xfId="0" applyNumberFormat="1" applyFont="1" applyFill="1" applyBorder="1" applyAlignment="1" applyProtection="1">
      <alignment/>
      <protection locked="0"/>
    </xf>
    <xf numFmtId="0" fontId="5" fillId="33" borderId="30" xfId="0" applyFont="1" applyFill="1" applyBorder="1" applyAlignment="1">
      <alignment horizontal="center"/>
    </xf>
    <xf numFmtId="0" fontId="1" fillId="38" borderId="21" xfId="0" applyFont="1" applyFill="1" applyBorder="1" applyAlignment="1">
      <alignment wrapText="1"/>
    </xf>
    <xf numFmtId="0" fontId="1" fillId="0" borderId="21" xfId="0" applyFont="1" applyBorder="1" applyAlignment="1">
      <alignment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38" borderId="13" xfId="0" applyFont="1" applyFill="1" applyBorder="1" applyAlignment="1">
      <alignment/>
    </xf>
    <xf numFmtId="0" fontId="8" fillId="0" borderId="2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33" borderId="36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1" fillId="0" borderId="37" xfId="0" applyFont="1" applyBorder="1" applyAlignment="1">
      <alignment/>
    </xf>
    <xf numFmtId="165" fontId="16" fillId="33" borderId="38" xfId="0" applyNumberFormat="1" applyFont="1" applyFill="1" applyBorder="1" applyAlignment="1">
      <alignment/>
    </xf>
    <xf numFmtId="0" fontId="16" fillId="33" borderId="39" xfId="0" applyFont="1" applyFill="1" applyBorder="1" applyAlignment="1">
      <alignment/>
    </xf>
    <xf numFmtId="0" fontId="1" fillId="0" borderId="40" xfId="0" applyFont="1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Centerline Plot (linear)</a:t>
            </a:r>
          </a:p>
        </c:rich>
      </c:tx>
      <c:layout>
        <c:manualLayout>
          <c:xMode val="factor"/>
          <c:yMode val="factor"/>
          <c:x val="-0.02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3325"/>
          <c:w val="0.7945"/>
          <c:h val="0.80425"/>
        </c:manualLayout>
      </c:layout>
      <c:scatterChart>
        <c:scatterStyle val="smoothMarker"/>
        <c:varyColors val="0"/>
        <c:ser>
          <c:idx val="0"/>
          <c:order val="0"/>
          <c:tx>
            <c:v>Model Output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'QUICK DOMENICO'!$B$31:$K$31</c:f>
              <c:numCache/>
            </c:numRef>
          </c:xVal>
          <c:yVal>
            <c:numRef>
              <c:f>'QUICK DOMENICO'!$B$34:$K$34</c:f>
              <c:numCache/>
            </c:numRef>
          </c:yVal>
          <c:smooth val="1"/>
        </c:ser>
        <c:ser>
          <c:idx val="1"/>
          <c:order val="1"/>
          <c:tx>
            <c:v>Field Data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'QUICK DOMENICO'!$E$38:$K$38</c:f>
              <c:numCache/>
            </c:numRef>
          </c:xVal>
          <c:yVal>
            <c:numRef>
              <c:f>'QUICK DOMENICO'!$E$37:$K$37</c:f>
              <c:numCache/>
            </c:numRef>
          </c:yVal>
          <c:smooth val="1"/>
        </c:ser>
        <c:axId val="28668585"/>
        <c:axId val="56690674"/>
      </c:scatterChart>
      <c:valAx>
        <c:axId val="28668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90674"/>
        <c:crosses val="autoZero"/>
        <c:crossBetween val="midCat"/>
        <c:dispUnits/>
      </c:valAx>
      <c:valAx>
        <c:axId val="5669067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685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25"/>
          <c:y val="0.15375"/>
          <c:w val="0.2565"/>
          <c:h val="0.2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Centerline Plot (log)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315"/>
          <c:w val="0.8995"/>
          <c:h val="0.83175"/>
        </c:manualLayout>
      </c:layout>
      <c:scatterChart>
        <c:scatterStyle val="smoothMarker"/>
        <c:varyColors val="0"/>
        <c:ser>
          <c:idx val="0"/>
          <c:order val="0"/>
          <c:tx>
            <c:v>Model Output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'QUICK DOMENICO'!$B$31:$K$31</c:f>
              <c:numCache/>
            </c:numRef>
          </c:xVal>
          <c:yVal>
            <c:numRef>
              <c:f>'QUICK DOMENICO'!$B$34:$K$34</c:f>
              <c:numCache/>
            </c:numRef>
          </c:yVal>
          <c:smooth val="1"/>
        </c:ser>
        <c:ser>
          <c:idx val="1"/>
          <c:order val="1"/>
          <c:tx>
            <c:v>Field Data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'QUICK DOMENICO'!$E$38:$I$38</c:f>
              <c:numCache/>
            </c:numRef>
          </c:xVal>
          <c:yVal>
            <c:numRef>
              <c:f>'QUICK DOMENICO'!$E$37:$I$37</c:f>
              <c:numCache/>
            </c:numRef>
          </c:yVal>
          <c:smooth val="1"/>
        </c:ser>
        <c:axId val="40454019"/>
        <c:axId val="28541852"/>
      </c:scatterChart>
      <c:valAx>
        <c:axId val="40454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41852"/>
        <c:crossesAt val="1E-100"/>
        <c:crossBetween val="midCat"/>
        <c:dispUnits/>
      </c:valAx>
      <c:valAx>
        <c:axId val="2854185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54019"/>
        <c:crossesAt val="0.5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75"/>
          <c:y val="0.15475"/>
          <c:w val="0.20475"/>
          <c:h val="0.2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1</xdr:row>
      <xdr:rowOff>114300</xdr:rowOff>
    </xdr:from>
    <xdr:to>
      <xdr:col>11</xdr:col>
      <xdr:colOff>495300</xdr:colOff>
      <xdr:row>14</xdr:row>
      <xdr:rowOff>19050</xdr:rowOff>
    </xdr:to>
    <xdr:sp>
      <xdr:nvSpPr>
        <xdr:cNvPr id="1" name="Text 1"/>
        <xdr:cNvSpPr txBox="1">
          <a:spLocks noChangeArrowheads="1"/>
        </xdr:cNvSpPr>
      </xdr:nvSpPr>
      <xdr:spPr>
        <a:xfrm>
          <a:off x="6029325" y="247650"/>
          <a:ext cx="1971675" cy="1638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erif"/>
              <a:ea typeface="MS Serif"/>
              <a:cs typeface="MS Serif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MS Serif"/>
              <a:ea typeface="MS Serif"/>
              <a:cs typeface="MS Serif"/>
            </a:rPr>
            <a:t>NEW QUICK_DOMENICO.XLS
</a:t>
          </a:r>
          <a:r>
            <a:rPr lang="en-US" cap="none" sz="800" b="0" i="0" u="none" baseline="0">
              <a:solidFill>
                <a:srgbClr val="000000"/>
              </a:solidFill>
              <a:latin typeface="MS Serif"/>
              <a:ea typeface="MS Serif"/>
              <a:cs typeface="MS Serif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MS Serif"/>
              <a:ea typeface="MS Serif"/>
              <a:cs typeface="MS Serif"/>
            </a:rPr>
            <a:t>SPREADSHEET APPLICATION OF 
</a:t>
          </a:r>
          <a:r>
            <a:rPr lang="en-US" cap="none" sz="800" b="0" i="0" u="none" baseline="0">
              <a:solidFill>
                <a:srgbClr val="000000"/>
              </a:solidFill>
              <a:latin typeface="MS Serif"/>
              <a:ea typeface="MS Serif"/>
              <a:cs typeface="MS Serif"/>
            </a:rPr>
            <a:t>"AN ANALYTICAL MODEL FOR 
</a:t>
          </a:r>
          <a:r>
            <a:rPr lang="en-US" cap="none" sz="800" b="0" i="0" u="none" baseline="0">
              <a:solidFill>
                <a:srgbClr val="000000"/>
              </a:solidFill>
              <a:latin typeface="MS Serif"/>
              <a:ea typeface="MS Serif"/>
              <a:cs typeface="MS Serif"/>
            </a:rPr>
            <a:t>MULTIDIMENSIONAL TRANSPORT OF A DECAYING CONTAMINANT SPECIES"
</a:t>
          </a:r>
          <a:r>
            <a:rPr lang="en-US" cap="none" sz="800" b="0" i="0" u="none" baseline="0">
              <a:solidFill>
                <a:srgbClr val="000000"/>
              </a:solidFill>
              <a:latin typeface="MS Serif"/>
              <a:ea typeface="MS Serif"/>
              <a:cs typeface="MS Serif"/>
            </a:rPr>
            <a:t>P.A. Domenico (1987)
</a:t>
          </a:r>
          <a:r>
            <a:rPr lang="en-US" cap="none" sz="800" b="0" i="0" u="none" baseline="0">
              <a:solidFill>
                <a:srgbClr val="000000"/>
              </a:solidFill>
              <a:latin typeface="MS Serif"/>
              <a:ea typeface="MS Serif"/>
              <a:cs typeface="MS Serif"/>
            </a:rPr>
            <a:t>Modified to Include Retardation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57150</xdr:colOff>
      <xdr:row>15</xdr:row>
      <xdr:rowOff>0</xdr:rowOff>
    </xdr:from>
    <xdr:to>
      <xdr:col>7</xdr:col>
      <xdr:colOff>400050</xdr:colOff>
      <xdr:row>29</xdr:row>
      <xdr:rowOff>57150</xdr:rowOff>
    </xdr:to>
    <xdr:graphicFrame>
      <xdr:nvGraphicFramePr>
        <xdr:cNvPr id="2" name="Chart 6"/>
        <xdr:cNvGraphicFramePr/>
      </xdr:nvGraphicFramePr>
      <xdr:xfrm>
        <a:off x="2895600" y="2000250"/>
        <a:ext cx="2314575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447675</xdr:colOff>
      <xdr:row>15</xdr:row>
      <xdr:rowOff>0</xdr:rowOff>
    </xdr:from>
    <xdr:to>
      <xdr:col>11</xdr:col>
      <xdr:colOff>581025</xdr:colOff>
      <xdr:row>29</xdr:row>
      <xdr:rowOff>47625</xdr:rowOff>
    </xdr:to>
    <xdr:graphicFrame>
      <xdr:nvGraphicFramePr>
        <xdr:cNvPr id="3" name="Chart 7"/>
        <xdr:cNvGraphicFramePr/>
      </xdr:nvGraphicFramePr>
      <xdr:xfrm>
        <a:off x="5257800" y="2000250"/>
        <a:ext cx="282892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0"/>
  <sheetViews>
    <sheetView tabSelected="1" zoomScale="85" zoomScaleNormal="85" zoomScalePageLayoutView="0" workbookViewId="0" topLeftCell="A1">
      <selection activeCell="D3" sqref="D3"/>
    </sheetView>
  </sheetViews>
  <sheetFormatPr defaultColWidth="9.140625" defaultRowHeight="12.75"/>
  <cols>
    <col min="1" max="1" width="10.57421875" style="0" customWidth="1"/>
    <col min="2" max="2" width="9.8515625" style="0" bestFit="1" customWidth="1"/>
    <col min="3" max="3" width="10.57421875" style="0" bestFit="1" customWidth="1"/>
    <col min="4" max="4" width="11.57421875" style="0" bestFit="1" customWidth="1"/>
    <col min="5" max="5" width="8.8515625" style="0" customWidth="1"/>
    <col min="6" max="6" width="9.28125" style="0" bestFit="1" customWidth="1"/>
    <col min="7" max="7" width="11.421875" style="0" customWidth="1"/>
    <col min="8" max="8" width="12.57421875" style="0" bestFit="1" customWidth="1"/>
    <col min="9" max="11" width="9.28125" style="0" bestFit="1" customWidth="1"/>
    <col min="13" max="13" width="9.28125" style="0" customWidth="1"/>
  </cols>
  <sheetData>
    <row r="1" spans="1:15" ht="10.5" customHeight="1">
      <c r="A1" s="51" t="s">
        <v>52</v>
      </c>
      <c r="B1" s="22"/>
      <c r="C1" s="23"/>
      <c r="D1" s="22"/>
      <c r="E1" s="22"/>
      <c r="F1" s="22"/>
      <c r="G1" s="22"/>
      <c r="H1" s="22"/>
      <c r="I1" s="22"/>
      <c r="J1" s="22"/>
      <c r="K1" s="22"/>
      <c r="L1" s="22"/>
      <c r="M1" s="22"/>
      <c r="N1" s="3"/>
      <c r="O1" s="3"/>
    </row>
    <row r="2" spans="1:15" ht="10.5" customHeight="1">
      <c r="A2" s="14" t="s">
        <v>0</v>
      </c>
      <c r="B2" s="43" t="s">
        <v>58</v>
      </c>
      <c r="C2" s="35"/>
      <c r="D2" s="26"/>
      <c r="E2" s="3"/>
      <c r="F2" s="3"/>
      <c r="G2" s="3"/>
      <c r="I2" s="3"/>
      <c r="J2" s="3"/>
      <c r="K2" s="3"/>
      <c r="L2" s="3"/>
      <c r="M2" s="3"/>
      <c r="N2" s="3"/>
      <c r="O2" s="3"/>
    </row>
    <row r="3" spans="1:15" ht="10.5" customHeight="1">
      <c r="A3" s="14" t="s">
        <v>1</v>
      </c>
      <c r="B3" s="36"/>
      <c r="C3" s="39" t="s">
        <v>2</v>
      </c>
      <c r="D3" s="35"/>
      <c r="E3" s="25"/>
      <c r="F3" s="25"/>
      <c r="G3" s="26"/>
      <c r="I3" s="3"/>
      <c r="J3" s="3"/>
      <c r="K3" s="3"/>
      <c r="L3" s="3"/>
      <c r="M3" s="3"/>
      <c r="N3" s="3"/>
      <c r="O3" s="3"/>
    </row>
    <row r="4" spans="1:15" ht="10.5" customHeight="1">
      <c r="A4" s="3"/>
      <c r="B4" s="3"/>
      <c r="C4" s="39" t="s">
        <v>3</v>
      </c>
      <c r="D4" s="42" t="s">
        <v>4</v>
      </c>
      <c r="E4" s="25"/>
      <c r="F4" s="25"/>
      <c r="G4" s="26"/>
      <c r="J4" s="3"/>
      <c r="K4" s="3"/>
      <c r="L4" s="3"/>
      <c r="M4" s="3"/>
      <c r="N4" s="3"/>
      <c r="O4" s="3"/>
    </row>
    <row r="5" spans="1:15" ht="10.5" customHeight="1">
      <c r="A5" s="3"/>
      <c r="B5" s="3"/>
      <c r="C5" s="3"/>
      <c r="D5" s="3"/>
      <c r="E5" s="3"/>
      <c r="F5" s="3"/>
      <c r="G5" s="3"/>
      <c r="H5" s="3"/>
      <c r="J5" s="3"/>
      <c r="K5" s="3"/>
      <c r="L5" s="3"/>
      <c r="M5" s="3"/>
      <c r="N5" s="3"/>
      <c r="O5" s="3"/>
    </row>
    <row r="6" spans="1:10" ht="10.5" customHeight="1">
      <c r="A6" s="7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7" t="s">
        <v>5</v>
      </c>
      <c r="G6" s="7" t="s">
        <v>10</v>
      </c>
      <c r="H6" s="70" t="s">
        <v>57</v>
      </c>
      <c r="J6" s="14"/>
    </row>
    <row r="7" spans="1:10" ht="10.5" customHeight="1">
      <c r="A7" s="8" t="s">
        <v>11</v>
      </c>
      <c r="B7" s="8" t="s">
        <v>12</v>
      </c>
      <c r="C7" s="8" t="s">
        <v>12</v>
      </c>
      <c r="D7" s="8" t="s">
        <v>12</v>
      </c>
      <c r="E7" s="8"/>
      <c r="F7" s="8" t="s">
        <v>13</v>
      </c>
      <c r="G7" s="8" t="s">
        <v>14</v>
      </c>
      <c r="H7" s="71" t="s">
        <v>39</v>
      </c>
      <c r="J7" s="14"/>
    </row>
    <row r="8" spans="1:10" ht="10.5" customHeight="1">
      <c r="A8" s="9" t="s">
        <v>15</v>
      </c>
      <c r="B8" s="9"/>
      <c r="C8" s="9"/>
      <c r="D8" s="9" t="s">
        <v>16</v>
      </c>
      <c r="E8" s="9" t="s">
        <v>17</v>
      </c>
      <c r="F8" s="9" t="s">
        <v>12</v>
      </c>
      <c r="G8" s="9" t="s">
        <v>12</v>
      </c>
      <c r="H8" s="80"/>
      <c r="J8" s="32"/>
    </row>
    <row r="9" spans="1:10" ht="10.5" customHeight="1">
      <c r="A9" s="24">
        <v>15</v>
      </c>
      <c r="B9" s="38">
        <v>50</v>
      </c>
      <c r="C9" s="38">
        <v>5</v>
      </c>
      <c r="D9" s="38">
        <v>0.0001</v>
      </c>
      <c r="E9" s="25">
        <v>0.002</v>
      </c>
      <c r="F9" s="25">
        <v>100</v>
      </c>
      <c r="G9" s="26">
        <v>10</v>
      </c>
      <c r="H9" s="55">
        <v>1000</v>
      </c>
      <c r="J9" s="14"/>
    </row>
    <row r="10" spans="1:15" ht="10.5" customHeight="1">
      <c r="A10" s="3"/>
      <c r="B10" s="3" t="s">
        <v>18</v>
      </c>
      <c r="C10" s="3"/>
      <c r="D10" s="3"/>
      <c r="E10" s="3"/>
      <c r="F10" s="3"/>
      <c r="G10" s="3"/>
      <c r="H10" s="3"/>
      <c r="J10" s="3"/>
      <c r="K10" s="3"/>
      <c r="L10" s="3"/>
      <c r="M10" s="3"/>
      <c r="N10" s="3"/>
      <c r="O10" s="3"/>
    </row>
    <row r="11" spans="1:15" ht="10.5" customHeight="1">
      <c r="A11" s="7" t="s">
        <v>19</v>
      </c>
      <c r="B11" s="7" t="s">
        <v>19</v>
      </c>
      <c r="C11" s="16"/>
      <c r="D11" s="10" t="s">
        <v>20</v>
      </c>
      <c r="E11" s="4"/>
      <c r="F11" s="4" t="s">
        <v>21</v>
      </c>
      <c r="G11" s="4" t="s">
        <v>22</v>
      </c>
      <c r="H11" s="7" t="s">
        <v>23</v>
      </c>
      <c r="J11" s="3"/>
      <c r="K11" s="3"/>
      <c r="L11" s="3"/>
      <c r="M11" s="3"/>
      <c r="N11" s="3"/>
      <c r="O11" s="3"/>
    </row>
    <row r="12" spans="1:15" ht="10.5" customHeight="1">
      <c r="A12" s="8" t="s">
        <v>24</v>
      </c>
      <c r="B12" s="8" t="s">
        <v>25</v>
      </c>
      <c r="C12" s="8" t="s">
        <v>26</v>
      </c>
      <c r="D12" s="11" t="s">
        <v>27</v>
      </c>
      <c r="E12" s="15" t="s">
        <v>28</v>
      </c>
      <c r="F12" s="15" t="s">
        <v>29</v>
      </c>
      <c r="G12" s="15" t="s">
        <v>30</v>
      </c>
      <c r="H12" s="8" t="s">
        <v>31</v>
      </c>
      <c r="I12" s="3"/>
      <c r="J12" s="3"/>
      <c r="K12" s="3"/>
      <c r="L12" s="3"/>
      <c r="M12" s="3"/>
      <c r="N12" s="3"/>
      <c r="O12" s="3"/>
    </row>
    <row r="13" spans="1:15" ht="10.5" customHeight="1">
      <c r="A13" s="9" t="s">
        <v>32</v>
      </c>
      <c r="B13" s="9" t="s">
        <v>33</v>
      </c>
      <c r="C13" s="9" t="s">
        <v>34</v>
      </c>
      <c r="D13" s="6" t="s">
        <v>35</v>
      </c>
      <c r="E13" s="17"/>
      <c r="F13" s="17"/>
      <c r="G13" s="5" t="s">
        <v>36</v>
      </c>
      <c r="H13" s="9" t="s">
        <v>32</v>
      </c>
      <c r="I13" s="3"/>
      <c r="J13" s="3"/>
      <c r="K13" s="3"/>
      <c r="L13" s="3"/>
      <c r="M13" s="3"/>
      <c r="N13" s="3"/>
      <c r="O13" s="3"/>
    </row>
    <row r="14" spans="1:15" ht="10.5" customHeight="1">
      <c r="A14" s="27">
        <v>30</v>
      </c>
      <c r="B14" s="28">
        <v>0.01</v>
      </c>
      <c r="C14" s="28">
        <v>0.358</v>
      </c>
      <c r="D14" s="25">
        <v>1.7</v>
      </c>
      <c r="E14" s="25">
        <v>58</v>
      </c>
      <c r="F14" s="38">
        <v>0.001</v>
      </c>
      <c r="G14" s="19">
        <f>1+(E14*F14)*D14/C14</f>
        <v>1.2754189944134078</v>
      </c>
      <c r="H14" s="20">
        <f>((A14*B14)/(C14))/G14</f>
        <v>0.657030223390276</v>
      </c>
      <c r="I14" s="3"/>
      <c r="J14" s="3"/>
      <c r="K14" s="3"/>
      <c r="L14" s="3"/>
      <c r="M14" s="3"/>
      <c r="N14" s="3"/>
      <c r="O14" s="3"/>
    </row>
    <row r="15" spans="1:15" ht="10.5" customHeight="1" thickBot="1">
      <c r="A15" s="4"/>
      <c r="B15" s="67"/>
      <c r="C15" s="67"/>
      <c r="D15" s="75"/>
      <c r="E15" s="14"/>
      <c r="F15" s="14"/>
      <c r="G15" s="14"/>
      <c r="H15" s="3"/>
      <c r="I15" s="3"/>
      <c r="J15" s="3"/>
      <c r="K15" s="3"/>
      <c r="L15" s="3"/>
      <c r="M15" s="3"/>
      <c r="N15" s="3"/>
      <c r="O15" s="3"/>
    </row>
    <row r="16" spans="1:15" ht="10.5" customHeight="1" thickTop="1">
      <c r="A16" s="84" t="s">
        <v>55</v>
      </c>
      <c r="B16" s="85"/>
      <c r="C16" s="72"/>
      <c r="D16" s="76"/>
      <c r="E16" s="14"/>
      <c r="F16" s="14"/>
      <c r="G16" s="14"/>
      <c r="H16" s="3"/>
      <c r="I16" s="3"/>
      <c r="J16" s="3"/>
      <c r="K16" s="3"/>
      <c r="L16" s="3"/>
      <c r="M16" s="3"/>
      <c r="N16" s="3"/>
      <c r="O16" s="3"/>
    </row>
    <row r="17" spans="1:15" ht="10.5" customHeight="1">
      <c r="A17" s="86"/>
      <c r="B17" s="87"/>
      <c r="C17" s="73"/>
      <c r="D17" s="77"/>
      <c r="E17" s="14"/>
      <c r="F17" s="14"/>
      <c r="G17" s="14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60" t="s">
        <v>54</v>
      </c>
      <c r="B18" s="62" t="s">
        <v>37</v>
      </c>
      <c r="C18" s="74" t="s">
        <v>38</v>
      </c>
      <c r="D18" s="77"/>
      <c r="E18" s="14"/>
      <c r="F18" s="14"/>
      <c r="G18" s="14"/>
      <c r="H18" s="3"/>
      <c r="I18" s="3"/>
      <c r="J18" s="3"/>
      <c r="K18" s="3"/>
      <c r="L18" s="3"/>
      <c r="M18" s="3"/>
      <c r="N18" s="3"/>
      <c r="O18" s="3"/>
    </row>
    <row r="19" spans="1:15" ht="10.5" customHeight="1">
      <c r="A19" s="61"/>
      <c r="B19" s="63"/>
      <c r="C19" s="52"/>
      <c r="D19" s="77"/>
      <c r="E19" s="14"/>
      <c r="F19" s="14"/>
      <c r="G19" s="14"/>
      <c r="H19" s="3"/>
      <c r="I19" s="3"/>
      <c r="J19" s="3"/>
      <c r="K19" s="3"/>
      <c r="L19" s="3"/>
      <c r="M19" s="3"/>
      <c r="N19" s="3"/>
      <c r="O19" s="3"/>
    </row>
    <row r="20" spans="1:15" ht="10.5" customHeight="1">
      <c r="A20" s="68">
        <v>200</v>
      </c>
      <c r="B20" s="55">
        <v>100</v>
      </c>
      <c r="C20" s="55">
        <v>0</v>
      </c>
      <c r="D20" s="78"/>
      <c r="F20" s="14"/>
      <c r="I20" s="3"/>
      <c r="J20" s="3"/>
      <c r="K20" s="3"/>
      <c r="L20" s="3"/>
      <c r="M20" s="3"/>
      <c r="N20" s="3"/>
      <c r="O20" s="3"/>
    </row>
    <row r="21" spans="1:15" ht="10.5" customHeight="1">
      <c r="A21" s="53"/>
      <c r="B21" s="12"/>
      <c r="D21" s="65"/>
      <c r="E21" s="18"/>
      <c r="F21" s="14"/>
      <c r="I21" s="14"/>
      <c r="J21" s="3"/>
      <c r="K21" s="3"/>
      <c r="L21" s="3"/>
      <c r="M21" s="3"/>
      <c r="N21" s="3"/>
      <c r="O21" s="3"/>
    </row>
    <row r="22" spans="1:15" ht="10.5" customHeight="1">
      <c r="A22" s="53"/>
      <c r="B22" s="56" t="s">
        <v>54</v>
      </c>
      <c r="C22" s="56" t="s">
        <v>37</v>
      </c>
      <c r="D22" s="57" t="s">
        <v>38</v>
      </c>
      <c r="G22" s="13"/>
      <c r="H22" s="13"/>
      <c r="J22" s="3"/>
      <c r="K22" s="3"/>
      <c r="L22" s="3"/>
      <c r="M22" s="3"/>
      <c r="N22" s="3"/>
      <c r="O22" s="3"/>
    </row>
    <row r="23" spans="1:15" ht="10.5" customHeight="1">
      <c r="A23" s="58" t="s">
        <v>53</v>
      </c>
      <c r="B23" s="48">
        <f>A20</f>
        <v>200</v>
      </c>
      <c r="C23" s="48">
        <f>B20</f>
        <v>100</v>
      </c>
      <c r="D23" s="59">
        <v>0</v>
      </c>
      <c r="G23" s="13"/>
      <c r="H23" s="13"/>
      <c r="J23" s="3"/>
      <c r="K23" s="3"/>
      <c r="L23" s="3"/>
      <c r="M23" s="3"/>
      <c r="N23" s="3"/>
      <c r="O23" s="3"/>
    </row>
    <row r="24" spans="1:15" ht="10.5" customHeight="1">
      <c r="A24" s="69" t="s">
        <v>40</v>
      </c>
      <c r="B24" s="34">
        <f>H9</f>
        <v>1000</v>
      </c>
      <c r="C24" s="66" t="s">
        <v>56</v>
      </c>
      <c r="D24" s="82">
        <f>($A$9/8)*(F62*F68*(F75-F76)*(F77-F78))</f>
        <v>1.1443585655343338</v>
      </c>
      <c r="L24" s="3"/>
      <c r="M24" s="3"/>
      <c r="N24" s="3"/>
      <c r="O24" s="3"/>
    </row>
    <row r="25" spans="1:15" ht="10.5" customHeight="1">
      <c r="A25" s="53"/>
      <c r="B25" s="12"/>
      <c r="D25" s="83"/>
      <c r="O25" s="3"/>
    </row>
    <row r="26" spans="1:15" ht="10.5" customHeight="1" thickBot="1">
      <c r="A26" s="81"/>
      <c r="B26" s="64"/>
      <c r="C26" s="54"/>
      <c r="D26" s="79" t="s">
        <v>41</v>
      </c>
      <c r="O26" s="3"/>
    </row>
    <row r="27" spans="1:15" ht="10.5" customHeight="1" thickTop="1">
      <c r="A27" s="11"/>
      <c r="B27" s="29" t="s">
        <v>42</v>
      </c>
      <c r="C27" s="30" t="s">
        <v>43</v>
      </c>
      <c r="D27" s="31"/>
      <c r="E27" s="18"/>
      <c r="G27" s="13"/>
      <c r="H27" s="13"/>
      <c r="I27" s="12"/>
      <c r="J27" s="3"/>
      <c r="K27" s="3"/>
      <c r="O27" s="3"/>
    </row>
    <row r="28" spans="2:15" ht="10.5" customHeight="1">
      <c r="B28" s="21" t="s">
        <v>44</v>
      </c>
      <c r="C28" s="21" t="s">
        <v>45</v>
      </c>
      <c r="O28" s="3"/>
    </row>
    <row r="29" spans="2:15" ht="10.5" customHeight="1">
      <c r="B29" t="s">
        <v>46</v>
      </c>
      <c r="C29" s="37">
        <v>200</v>
      </c>
      <c r="O29" s="3"/>
    </row>
    <row r="30" spans="2:15" ht="10.5" customHeight="1">
      <c r="B30" t="s">
        <v>47</v>
      </c>
      <c r="C30" s="37">
        <v>200</v>
      </c>
      <c r="O30" s="3"/>
    </row>
    <row r="31" spans="2:15" ht="10.5" customHeight="1">
      <c r="B31" s="33">
        <f>C29*0.1</f>
        <v>20</v>
      </c>
      <c r="C31" s="33">
        <f>C29*0.2</f>
        <v>40</v>
      </c>
      <c r="D31" s="33">
        <f>C29*0.3</f>
        <v>60</v>
      </c>
      <c r="E31" s="33">
        <f>C29*0.4</f>
        <v>80</v>
      </c>
      <c r="F31" s="33">
        <f>C29*0.5</f>
        <v>100</v>
      </c>
      <c r="G31" s="33">
        <f>C29*0.6</f>
        <v>120</v>
      </c>
      <c r="H31" s="33">
        <f>C29*0.7</f>
        <v>140</v>
      </c>
      <c r="I31" s="33">
        <f>C29*0.8</f>
        <v>160</v>
      </c>
      <c r="J31" s="33">
        <f>C29*0.9</f>
        <v>180</v>
      </c>
      <c r="K31" s="33">
        <f>C29</f>
        <v>200</v>
      </c>
      <c r="L31" s="3"/>
      <c r="N31" s="3"/>
      <c r="O31" s="3"/>
    </row>
    <row r="32" spans="1:15" ht="10.5" customHeight="1">
      <c r="A32" s="33">
        <f>C30</f>
        <v>200</v>
      </c>
      <c r="B32" s="40">
        <f aca="true" t="shared" si="0" ref="B32:K32">($A$9/8)*(G62*G68*(G75-G76)*(G77-G78))</f>
        <v>0</v>
      </c>
      <c r="C32" s="40">
        <f t="shared" si="0"/>
        <v>0</v>
      </c>
      <c r="D32" s="40">
        <f t="shared" si="0"/>
        <v>0</v>
      </c>
      <c r="E32" s="40">
        <f t="shared" si="0"/>
        <v>0</v>
      </c>
      <c r="F32" s="40">
        <f t="shared" si="0"/>
        <v>1.2025457162216795E-05</v>
      </c>
      <c r="G32" s="40">
        <f t="shared" si="0"/>
        <v>8.077463869614752E-05</v>
      </c>
      <c r="H32" s="40">
        <f t="shared" si="0"/>
        <v>0.00031311644922370956</v>
      </c>
      <c r="I32" s="40">
        <f t="shared" si="0"/>
        <v>0.0008595298675075504</v>
      </c>
      <c r="J32" s="40">
        <f t="shared" si="0"/>
        <v>0.0018726108886669298</v>
      </c>
      <c r="K32" s="40">
        <f t="shared" si="0"/>
        <v>0.0034677493340090656</v>
      </c>
      <c r="L32" s="3"/>
      <c r="M32" s="3"/>
      <c r="N32" s="3"/>
      <c r="O32" s="3"/>
    </row>
    <row r="33" spans="1:15" ht="10.5" customHeight="1">
      <c r="A33" s="33">
        <f>C30/2</f>
        <v>100</v>
      </c>
      <c r="B33" s="40">
        <f aca="true" t="shared" si="1" ref="B33:K33">($A$9/8)*(V62*V68*(V75-V76)*(V77-V78))</f>
        <v>0.002890449057143737</v>
      </c>
      <c r="C33" s="40">
        <f t="shared" si="1"/>
        <v>0.08358125129821026</v>
      </c>
      <c r="D33" s="40">
        <f t="shared" si="1"/>
        <v>0.26287660371425936</v>
      </c>
      <c r="E33" s="40">
        <f t="shared" si="1"/>
        <v>0.4657502726349914</v>
      </c>
      <c r="F33" s="40">
        <f t="shared" si="1"/>
        <v>0.6514728679227311</v>
      </c>
      <c r="G33" s="40">
        <f t="shared" si="1"/>
        <v>0.8070765119876381</v>
      </c>
      <c r="H33" s="40">
        <f t="shared" si="1"/>
        <v>0.9311151857593055</v>
      </c>
      <c r="I33" s="40">
        <f t="shared" si="1"/>
        <v>1.0261923158867208</v>
      </c>
      <c r="J33" s="40">
        <f t="shared" si="1"/>
        <v>1.0960247111124095</v>
      </c>
      <c r="K33" s="40">
        <f t="shared" si="1"/>
        <v>1.1443585655343338</v>
      </c>
      <c r="L33" s="3"/>
      <c r="M33" s="3"/>
      <c r="N33" s="3"/>
      <c r="O33" s="3"/>
    </row>
    <row r="34" spans="1:15" ht="9.75" customHeight="1">
      <c r="A34" s="33">
        <f>0</f>
        <v>0</v>
      </c>
      <c r="B34" s="40">
        <f aca="true" t="shared" si="2" ref="B34:K34">B50</f>
        <v>14.199574687986683</v>
      </c>
      <c r="C34" s="40">
        <f t="shared" si="2"/>
        <v>13.292701582391645</v>
      </c>
      <c r="D34" s="40">
        <f t="shared" si="2"/>
        <v>12.226941211974811</v>
      </c>
      <c r="E34" s="40">
        <f t="shared" si="2"/>
        <v>11.150238687298959</v>
      </c>
      <c r="F34" s="40">
        <f t="shared" si="2"/>
        <v>10.142020604439281</v>
      </c>
      <c r="G34" s="40">
        <f t="shared" si="2"/>
        <v>9.226219396927371</v>
      </c>
      <c r="H34" s="40">
        <f t="shared" si="2"/>
        <v>8.403689211958778</v>
      </c>
      <c r="I34" s="40">
        <f t="shared" si="2"/>
        <v>7.667184013213225</v>
      </c>
      <c r="J34" s="40">
        <f t="shared" si="2"/>
        <v>7.007309448828586</v>
      </c>
      <c r="K34" s="40">
        <f t="shared" si="2"/>
        <v>6.4147668411904455</v>
      </c>
      <c r="L34" s="3"/>
      <c r="M34" s="3"/>
      <c r="N34" s="3"/>
      <c r="O34" s="3"/>
    </row>
    <row r="35" spans="1:15" ht="12.75">
      <c r="A35" s="33">
        <f>(-C30/2)</f>
        <v>-100</v>
      </c>
      <c r="B35" s="40">
        <f aca="true" t="shared" si="3" ref="B35:K35">($A$9/8)*(V62*V68*(V75-V76)*(V77-V78))</f>
        <v>0.002890449057143737</v>
      </c>
      <c r="C35" s="40">
        <f t="shared" si="3"/>
        <v>0.08358125129821026</v>
      </c>
      <c r="D35" s="40">
        <f t="shared" si="3"/>
        <v>0.26287660371425936</v>
      </c>
      <c r="E35" s="40">
        <f t="shared" si="3"/>
        <v>0.4657502726349914</v>
      </c>
      <c r="F35" s="40">
        <f t="shared" si="3"/>
        <v>0.6514728679227311</v>
      </c>
      <c r="G35" s="40">
        <f t="shared" si="3"/>
        <v>0.8070765119876381</v>
      </c>
      <c r="H35" s="40">
        <f t="shared" si="3"/>
        <v>0.9311151857593055</v>
      </c>
      <c r="I35" s="40">
        <f t="shared" si="3"/>
        <v>1.0261923158867208</v>
      </c>
      <c r="J35" s="40">
        <f t="shared" si="3"/>
        <v>1.0960247111124095</v>
      </c>
      <c r="K35" s="40">
        <f t="shared" si="3"/>
        <v>1.1443585655343338</v>
      </c>
      <c r="L35" s="3"/>
      <c r="M35" s="3"/>
      <c r="N35" s="3"/>
      <c r="O35" s="3"/>
    </row>
    <row r="36" spans="1:15" ht="12.75">
      <c r="A36" s="33">
        <f>(-C30)</f>
        <v>-200</v>
      </c>
      <c r="B36" s="41">
        <f aca="true" t="shared" si="4" ref="B36:K36">($A$9/8)*(G62*G68*(G75-G76)*(G77-G78))</f>
        <v>0</v>
      </c>
      <c r="C36" s="41">
        <f t="shared" si="4"/>
        <v>0</v>
      </c>
      <c r="D36" s="41">
        <f t="shared" si="4"/>
        <v>0</v>
      </c>
      <c r="E36" s="41">
        <f t="shared" si="4"/>
        <v>0</v>
      </c>
      <c r="F36" s="41">
        <f t="shared" si="4"/>
        <v>1.2025457162216795E-05</v>
      </c>
      <c r="G36" s="41">
        <f t="shared" si="4"/>
        <v>8.077463869614752E-05</v>
      </c>
      <c r="H36" s="41">
        <f t="shared" si="4"/>
        <v>0.00031311644922370956</v>
      </c>
      <c r="I36" s="41">
        <f t="shared" si="4"/>
        <v>0.0008595298675075504</v>
      </c>
      <c r="J36" s="41">
        <f t="shared" si="4"/>
        <v>0.0018726108886669298</v>
      </c>
      <c r="K36" s="41">
        <f t="shared" si="4"/>
        <v>0.0034677493340090656</v>
      </c>
      <c r="L36" s="3"/>
      <c r="M36" s="3"/>
      <c r="N36" s="3"/>
      <c r="O36" s="3"/>
    </row>
    <row r="37" spans="1:15" ht="12.75">
      <c r="A37" s="47" t="s">
        <v>48</v>
      </c>
      <c r="B37" s="44" t="s">
        <v>49</v>
      </c>
      <c r="C37" s="44" t="s">
        <v>50</v>
      </c>
      <c r="D37" s="46"/>
      <c r="E37" s="49">
        <v>15</v>
      </c>
      <c r="F37" s="49">
        <v>13.81</v>
      </c>
      <c r="G37" s="49">
        <v>10.85</v>
      </c>
      <c r="H37" s="49">
        <v>8.61</v>
      </c>
      <c r="I37" s="49"/>
      <c r="J37" s="50"/>
      <c r="K37" s="50"/>
      <c r="L37" s="3"/>
      <c r="M37" s="3"/>
      <c r="N37" s="3"/>
      <c r="O37" s="3"/>
    </row>
    <row r="38" spans="2:12" ht="12.75">
      <c r="B38" s="45" t="s">
        <v>51</v>
      </c>
      <c r="C38" s="45"/>
      <c r="D38" s="46"/>
      <c r="E38" s="49">
        <v>0</v>
      </c>
      <c r="F38" s="49">
        <v>50</v>
      </c>
      <c r="G38" s="49">
        <v>125</v>
      </c>
      <c r="H38" s="49">
        <v>200</v>
      </c>
      <c r="I38" s="49"/>
      <c r="J38" s="50"/>
      <c r="K38" s="50"/>
      <c r="L38" s="3"/>
    </row>
    <row r="41" spans="2:8" ht="12.75">
      <c r="B41" s="1"/>
      <c r="C41" s="1"/>
      <c r="D41" s="1"/>
      <c r="E41" s="1"/>
      <c r="F41" s="1"/>
      <c r="G41" s="2"/>
      <c r="H41" s="1"/>
    </row>
    <row r="47" ht="12.75" hidden="1"/>
    <row r="48" ht="12.75" hidden="1"/>
    <row r="49" ht="12.75" hidden="1"/>
    <row r="50" spans="2:11" ht="12.75" hidden="1">
      <c r="B50">
        <f>IF(($A$9/8)*(AG62*AG68*(AG75-AG76)*(AG77-AG78))&gt;0.00001,($A$9/8)*(AG62*AG68*(AG75-AG76)*(AG77-AG78)),0.00001)</f>
        <v>14.199574687986683</v>
      </c>
      <c r="C50">
        <f aca="true" t="shared" si="5" ref="C50:K50">IF(($A$9/8)*(AH62*AH68*(AH75-AH76)*(AH77-AH78))&gt;0.00001,($A$9/8)*(AH62*AH68*(AH75-AH76)*(AH77-AH78)),0.00001)</f>
        <v>13.292701582391645</v>
      </c>
      <c r="D50">
        <f t="shared" si="5"/>
        <v>12.226941211974811</v>
      </c>
      <c r="E50">
        <f t="shared" si="5"/>
        <v>11.150238687298959</v>
      </c>
      <c r="F50">
        <f t="shared" si="5"/>
        <v>10.142020604439281</v>
      </c>
      <c r="G50">
        <f t="shared" si="5"/>
        <v>9.226219396927371</v>
      </c>
      <c r="H50">
        <f t="shared" si="5"/>
        <v>8.403689211958778</v>
      </c>
      <c r="I50">
        <f t="shared" si="5"/>
        <v>7.667184013213225</v>
      </c>
      <c r="J50">
        <f t="shared" si="5"/>
        <v>7.007309448828586</v>
      </c>
      <c r="K50">
        <f t="shared" si="5"/>
        <v>6.4147668411904455</v>
      </c>
    </row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spans="6:22" ht="12.75" hidden="1">
      <c r="F58" s="14"/>
      <c r="G58" s="14"/>
      <c r="V58" s="14"/>
    </row>
    <row r="59" spans="5:22" ht="12.75" hidden="1">
      <c r="E59" s="3"/>
      <c r="F59" s="14"/>
      <c r="G59" s="14"/>
      <c r="V59" s="14"/>
    </row>
    <row r="60" spans="1:42" ht="12.75" hidden="1">
      <c r="A60" s="3"/>
      <c r="B60" s="3"/>
      <c r="C60" s="3"/>
      <c r="D60" s="3"/>
      <c r="E60" s="3"/>
      <c r="F60" s="3">
        <f>A20/(2*$B$9)</f>
        <v>2</v>
      </c>
      <c r="G60" s="3">
        <f aca="true" t="shared" si="6" ref="G60:P60">B31/(2*$B$9)</f>
        <v>0.2</v>
      </c>
      <c r="H60" s="3">
        <f t="shared" si="6"/>
        <v>0.4</v>
      </c>
      <c r="I60" s="3">
        <f t="shared" si="6"/>
        <v>0.6</v>
      </c>
      <c r="J60" s="3">
        <f t="shared" si="6"/>
        <v>0.8</v>
      </c>
      <c r="K60" s="3">
        <f t="shared" si="6"/>
        <v>1</v>
      </c>
      <c r="L60" s="3">
        <f t="shared" si="6"/>
        <v>1.2</v>
      </c>
      <c r="M60" s="3">
        <f t="shared" si="6"/>
        <v>1.4</v>
      </c>
      <c r="N60" s="3">
        <f t="shared" si="6"/>
        <v>1.6</v>
      </c>
      <c r="O60" s="3">
        <f t="shared" si="6"/>
        <v>1.8</v>
      </c>
      <c r="P60" s="3">
        <f t="shared" si="6"/>
        <v>2</v>
      </c>
      <c r="R60" s="3"/>
      <c r="S60" s="3"/>
      <c r="T60" s="3"/>
      <c r="U60" s="3"/>
      <c r="V60" s="3">
        <f aca="true" t="shared" si="7" ref="V60:AE60">B31/(2*$B$9)</f>
        <v>0.2</v>
      </c>
      <c r="W60" s="3">
        <f t="shared" si="7"/>
        <v>0.4</v>
      </c>
      <c r="X60" s="3">
        <f t="shared" si="7"/>
        <v>0.6</v>
      </c>
      <c r="Y60" s="3">
        <f t="shared" si="7"/>
        <v>0.8</v>
      </c>
      <c r="Z60" s="3">
        <f t="shared" si="7"/>
        <v>1</v>
      </c>
      <c r="AA60" s="3">
        <f t="shared" si="7"/>
        <v>1.2</v>
      </c>
      <c r="AB60" s="3">
        <f t="shared" si="7"/>
        <v>1.4</v>
      </c>
      <c r="AC60" s="3">
        <f t="shared" si="7"/>
        <v>1.6</v>
      </c>
      <c r="AD60" s="3">
        <f t="shared" si="7"/>
        <v>1.8</v>
      </c>
      <c r="AE60" s="3">
        <f t="shared" si="7"/>
        <v>2</v>
      </c>
      <c r="AG60" s="3">
        <f aca="true" t="shared" si="8" ref="AG60:AP60">B31/(2*$B$9)</f>
        <v>0.2</v>
      </c>
      <c r="AH60" s="3">
        <f t="shared" si="8"/>
        <v>0.4</v>
      </c>
      <c r="AI60" s="3">
        <f t="shared" si="8"/>
        <v>0.6</v>
      </c>
      <c r="AJ60" s="3">
        <f t="shared" si="8"/>
        <v>0.8</v>
      </c>
      <c r="AK60" s="3">
        <f t="shared" si="8"/>
        <v>1</v>
      </c>
      <c r="AL60" s="3">
        <f t="shared" si="8"/>
        <v>1.2</v>
      </c>
      <c r="AM60" s="3">
        <f t="shared" si="8"/>
        <v>1.4</v>
      </c>
      <c r="AN60" s="3">
        <f t="shared" si="8"/>
        <v>1.6</v>
      </c>
      <c r="AO60" s="3">
        <f t="shared" si="8"/>
        <v>1.8</v>
      </c>
      <c r="AP60" s="3">
        <f t="shared" si="8"/>
        <v>2</v>
      </c>
    </row>
    <row r="61" spans="1:42" ht="12.75" hidden="1">
      <c r="A61" s="3"/>
      <c r="B61" s="3"/>
      <c r="C61" s="3"/>
      <c r="D61" s="3"/>
      <c r="E61" s="3"/>
      <c r="F61" s="3">
        <f aca="true" t="shared" si="9" ref="F61:P61">1-(SQRT(1+(4*$E$9*$B$9)/$H$14))</f>
        <v>-0.2683847996566342</v>
      </c>
      <c r="G61" s="3">
        <f t="shared" si="9"/>
        <v>-0.2683847996566342</v>
      </c>
      <c r="H61" s="3">
        <f t="shared" si="9"/>
        <v>-0.2683847996566342</v>
      </c>
      <c r="I61" s="3">
        <f t="shared" si="9"/>
        <v>-0.2683847996566342</v>
      </c>
      <c r="J61" s="3">
        <f t="shared" si="9"/>
        <v>-0.2683847996566342</v>
      </c>
      <c r="K61" s="3">
        <f t="shared" si="9"/>
        <v>-0.2683847996566342</v>
      </c>
      <c r="L61" s="3">
        <f t="shared" si="9"/>
        <v>-0.2683847996566342</v>
      </c>
      <c r="M61" s="3">
        <f t="shared" si="9"/>
        <v>-0.2683847996566342</v>
      </c>
      <c r="N61" s="3">
        <f t="shared" si="9"/>
        <v>-0.2683847996566342</v>
      </c>
      <c r="O61" s="3">
        <f t="shared" si="9"/>
        <v>-0.2683847996566342</v>
      </c>
      <c r="P61" s="3">
        <f t="shared" si="9"/>
        <v>-0.2683847996566342</v>
      </c>
      <c r="R61" s="3"/>
      <c r="S61" s="3"/>
      <c r="T61" s="3"/>
      <c r="U61" s="3"/>
      <c r="V61" s="3">
        <f aca="true" t="shared" si="10" ref="V61:AE61">1-(SQRT(1+(4*$E$9*$B$9)/$H$14))</f>
        <v>-0.2683847996566342</v>
      </c>
      <c r="W61" s="3">
        <f t="shared" si="10"/>
        <v>-0.2683847996566342</v>
      </c>
      <c r="X61" s="3">
        <f t="shared" si="10"/>
        <v>-0.2683847996566342</v>
      </c>
      <c r="Y61" s="3">
        <f t="shared" si="10"/>
        <v>-0.2683847996566342</v>
      </c>
      <c r="Z61" s="3">
        <f t="shared" si="10"/>
        <v>-0.2683847996566342</v>
      </c>
      <c r="AA61" s="3">
        <f t="shared" si="10"/>
        <v>-0.2683847996566342</v>
      </c>
      <c r="AB61" s="3">
        <f t="shared" si="10"/>
        <v>-0.2683847996566342</v>
      </c>
      <c r="AC61" s="3">
        <f t="shared" si="10"/>
        <v>-0.2683847996566342</v>
      </c>
      <c r="AD61" s="3">
        <f t="shared" si="10"/>
        <v>-0.2683847996566342</v>
      </c>
      <c r="AE61" s="3">
        <f t="shared" si="10"/>
        <v>-0.2683847996566342</v>
      </c>
      <c r="AG61" s="3">
        <f aca="true" t="shared" si="11" ref="AG61:AP61">1-(SQRT(1+(4*$E$9*$B$9)/$H$14))</f>
        <v>-0.2683847996566342</v>
      </c>
      <c r="AH61" s="3">
        <f t="shared" si="11"/>
        <v>-0.2683847996566342</v>
      </c>
      <c r="AI61" s="3">
        <f t="shared" si="11"/>
        <v>-0.2683847996566342</v>
      </c>
      <c r="AJ61" s="3">
        <f t="shared" si="11"/>
        <v>-0.2683847996566342</v>
      </c>
      <c r="AK61" s="3">
        <f t="shared" si="11"/>
        <v>-0.2683847996566342</v>
      </c>
      <c r="AL61" s="3">
        <f t="shared" si="11"/>
        <v>-0.2683847996566342</v>
      </c>
      <c r="AM61" s="3">
        <f t="shared" si="11"/>
        <v>-0.2683847996566342</v>
      </c>
      <c r="AN61" s="3">
        <f t="shared" si="11"/>
        <v>-0.2683847996566342</v>
      </c>
      <c r="AO61" s="3">
        <f t="shared" si="11"/>
        <v>-0.2683847996566342</v>
      </c>
      <c r="AP61" s="3">
        <f t="shared" si="11"/>
        <v>-0.2683847996566342</v>
      </c>
    </row>
    <row r="62" spans="1:42" ht="12.75" hidden="1">
      <c r="A62" s="3"/>
      <c r="B62" s="3"/>
      <c r="C62" s="3"/>
      <c r="D62" s="3"/>
      <c r="E62" s="3"/>
      <c r="F62" s="3">
        <f aca="true" t="shared" si="12" ref="F62:P62">EXP(F60*F61)</f>
        <v>0.58463380663682</v>
      </c>
      <c r="G62" s="3">
        <f t="shared" si="12"/>
        <v>0.947738214474454</v>
      </c>
      <c r="H62" s="3">
        <f t="shared" si="12"/>
        <v>0.8982077231752262</v>
      </c>
      <c r="I62" s="3">
        <f t="shared" si="12"/>
        <v>0.8512657837892537</v>
      </c>
      <c r="J62" s="3">
        <f t="shared" si="12"/>
        <v>0.8067771139716239</v>
      </c>
      <c r="K62" s="3">
        <f t="shared" si="12"/>
        <v>0.76461350147432</v>
      </c>
      <c r="L62" s="3">
        <f t="shared" si="12"/>
        <v>0.7246534346503324</v>
      </c>
      <c r="M62" s="3">
        <f t="shared" si="12"/>
        <v>0.6867817522682865</v>
      </c>
      <c r="N62" s="3">
        <f t="shared" si="12"/>
        <v>0.6508893116283827</v>
      </c>
      <c r="O62" s="3">
        <f t="shared" si="12"/>
        <v>0.6168726740231899</v>
      </c>
      <c r="P62" s="3">
        <f t="shared" si="12"/>
        <v>0.58463380663682</v>
      </c>
      <c r="R62" s="3"/>
      <c r="S62" s="3"/>
      <c r="T62" s="3"/>
      <c r="U62" s="3"/>
      <c r="V62" s="3">
        <f>EXP(V60*V61)</f>
        <v>0.947738214474454</v>
      </c>
      <c r="W62" s="3">
        <f aca="true" t="shared" si="13" ref="W62:AE62">EXP(W60*W61)</f>
        <v>0.8982077231752262</v>
      </c>
      <c r="X62" s="3">
        <f t="shared" si="13"/>
        <v>0.8512657837892537</v>
      </c>
      <c r="Y62" s="3">
        <f t="shared" si="13"/>
        <v>0.8067771139716239</v>
      </c>
      <c r="Z62" s="3">
        <f t="shared" si="13"/>
        <v>0.76461350147432</v>
      </c>
      <c r="AA62" s="3">
        <f t="shared" si="13"/>
        <v>0.7246534346503324</v>
      </c>
      <c r="AB62" s="3">
        <f t="shared" si="13"/>
        <v>0.6867817522682865</v>
      </c>
      <c r="AC62" s="3">
        <f t="shared" si="13"/>
        <v>0.6508893116283827</v>
      </c>
      <c r="AD62" s="3">
        <f t="shared" si="13"/>
        <v>0.6168726740231899</v>
      </c>
      <c r="AE62" s="3">
        <f t="shared" si="13"/>
        <v>0.58463380663682</v>
      </c>
      <c r="AG62" s="3">
        <f>EXP(AG60*AG61)</f>
        <v>0.947738214474454</v>
      </c>
      <c r="AH62" s="3">
        <f aca="true" t="shared" si="14" ref="AH62:AP62">EXP(AH60*AH61)</f>
        <v>0.8982077231752262</v>
      </c>
      <c r="AI62" s="3">
        <f t="shared" si="14"/>
        <v>0.8512657837892537</v>
      </c>
      <c r="AJ62" s="3">
        <f t="shared" si="14"/>
        <v>0.8067771139716239</v>
      </c>
      <c r="AK62" s="3">
        <f t="shared" si="14"/>
        <v>0.76461350147432</v>
      </c>
      <c r="AL62" s="3">
        <f t="shared" si="14"/>
        <v>0.7246534346503324</v>
      </c>
      <c r="AM62" s="3">
        <f t="shared" si="14"/>
        <v>0.6867817522682865</v>
      </c>
      <c r="AN62" s="3">
        <f t="shared" si="14"/>
        <v>0.6508893116283827</v>
      </c>
      <c r="AO62" s="3">
        <f t="shared" si="14"/>
        <v>0.6168726740231899</v>
      </c>
      <c r="AP62" s="3">
        <f t="shared" si="14"/>
        <v>0.58463380663682</v>
      </c>
    </row>
    <row r="63" spans="1:42" ht="12.75" hidden="1">
      <c r="A63" s="3"/>
      <c r="B63" s="3"/>
      <c r="C63" s="3"/>
      <c r="D63" s="3"/>
      <c r="E63" s="3"/>
      <c r="F63" s="3">
        <f aca="true" t="shared" si="15" ref="F63:P63">$H$14*$H$9</f>
        <v>657.030223390276</v>
      </c>
      <c r="G63" s="3">
        <f t="shared" si="15"/>
        <v>657.030223390276</v>
      </c>
      <c r="H63" s="3">
        <f t="shared" si="15"/>
        <v>657.030223390276</v>
      </c>
      <c r="I63" s="3">
        <f t="shared" si="15"/>
        <v>657.030223390276</v>
      </c>
      <c r="J63" s="3">
        <f t="shared" si="15"/>
        <v>657.030223390276</v>
      </c>
      <c r="K63" s="3">
        <f t="shared" si="15"/>
        <v>657.030223390276</v>
      </c>
      <c r="L63" s="3">
        <f t="shared" si="15"/>
        <v>657.030223390276</v>
      </c>
      <c r="M63" s="3">
        <f t="shared" si="15"/>
        <v>657.030223390276</v>
      </c>
      <c r="N63" s="3">
        <f t="shared" si="15"/>
        <v>657.030223390276</v>
      </c>
      <c r="O63" s="3">
        <f t="shared" si="15"/>
        <v>657.030223390276</v>
      </c>
      <c r="P63" s="3">
        <f t="shared" si="15"/>
        <v>657.030223390276</v>
      </c>
      <c r="R63" s="3"/>
      <c r="S63" s="3"/>
      <c r="T63" s="3"/>
      <c r="U63" s="3"/>
      <c r="V63" s="3">
        <f aca="true" t="shared" si="16" ref="V63:AE63">$H$14*$H$9</f>
        <v>657.030223390276</v>
      </c>
      <c r="W63" s="3">
        <f t="shared" si="16"/>
        <v>657.030223390276</v>
      </c>
      <c r="X63" s="3">
        <f t="shared" si="16"/>
        <v>657.030223390276</v>
      </c>
      <c r="Y63" s="3">
        <f t="shared" si="16"/>
        <v>657.030223390276</v>
      </c>
      <c r="Z63" s="3">
        <f t="shared" si="16"/>
        <v>657.030223390276</v>
      </c>
      <c r="AA63" s="3">
        <f t="shared" si="16"/>
        <v>657.030223390276</v>
      </c>
      <c r="AB63" s="3">
        <f t="shared" si="16"/>
        <v>657.030223390276</v>
      </c>
      <c r="AC63" s="3">
        <f t="shared" si="16"/>
        <v>657.030223390276</v>
      </c>
      <c r="AD63" s="3">
        <f t="shared" si="16"/>
        <v>657.030223390276</v>
      </c>
      <c r="AE63" s="3">
        <f t="shared" si="16"/>
        <v>657.030223390276</v>
      </c>
      <c r="AG63" s="3">
        <f aca="true" t="shared" si="17" ref="AG63:AP63">$H$14*$H$9</f>
        <v>657.030223390276</v>
      </c>
      <c r="AH63" s="3">
        <f t="shared" si="17"/>
        <v>657.030223390276</v>
      </c>
      <c r="AI63" s="3">
        <f t="shared" si="17"/>
        <v>657.030223390276</v>
      </c>
      <c r="AJ63" s="3">
        <f t="shared" si="17"/>
        <v>657.030223390276</v>
      </c>
      <c r="AK63" s="3">
        <f t="shared" si="17"/>
        <v>657.030223390276</v>
      </c>
      <c r="AL63" s="3">
        <f t="shared" si="17"/>
        <v>657.030223390276</v>
      </c>
      <c r="AM63" s="3">
        <f t="shared" si="17"/>
        <v>657.030223390276</v>
      </c>
      <c r="AN63" s="3">
        <f t="shared" si="17"/>
        <v>657.030223390276</v>
      </c>
      <c r="AO63" s="3">
        <f t="shared" si="17"/>
        <v>657.030223390276</v>
      </c>
      <c r="AP63" s="3">
        <f t="shared" si="17"/>
        <v>657.030223390276</v>
      </c>
    </row>
    <row r="64" spans="1:42" ht="12.75" hidden="1">
      <c r="A64" s="3"/>
      <c r="B64" s="3"/>
      <c r="C64" s="3"/>
      <c r="D64" s="3"/>
      <c r="E64" s="3"/>
      <c r="F64" s="3">
        <f aca="true" t="shared" si="18" ref="F64:P64">SQRT(1+(4*$E$9*$B$9/$H$14))</f>
        <v>1.2683847996566342</v>
      </c>
      <c r="G64" s="3">
        <f t="shared" si="18"/>
        <v>1.2683847996566342</v>
      </c>
      <c r="H64" s="3">
        <f t="shared" si="18"/>
        <v>1.2683847996566342</v>
      </c>
      <c r="I64" s="3">
        <f t="shared" si="18"/>
        <v>1.2683847996566342</v>
      </c>
      <c r="J64" s="3">
        <f t="shared" si="18"/>
        <v>1.2683847996566342</v>
      </c>
      <c r="K64" s="3">
        <f t="shared" si="18"/>
        <v>1.2683847996566342</v>
      </c>
      <c r="L64" s="3">
        <f t="shared" si="18"/>
        <v>1.2683847996566342</v>
      </c>
      <c r="M64" s="3">
        <f t="shared" si="18"/>
        <v>1.2683847996566342</v>
      </c>
      <c r="N64" s="3">
        <f t="shared" si="18"/>
        <v>1.2683847996566342</v>
      </c>
      <c r="O64" s="3">
        <f t="shared" si="18"/>
        <v>1.2683847996566342</v>
      </c>
      <c r="P64" s="3">
        <f t="shared" si="18"/>
        <v>1.2683847996566342</v>
      </c>
      <c r="R64" s="3"/>
      <c r="S64" s="3"/>
      <c r="T64" s="3"/>
      <c r="U64" s="3"/>
      <c r="V64" s="3">
        <f aca="true" t="shared" si="19" ref="V64:AE64">SQRT(1+(4*$E$9*$B$9/$H$14))</f>
        <v>1.2683847996566342</v>
      </c>
      <c r="W64" s="3">
        <f t="shared" si="19"/>
        <v>1.2683847996566342</v>
      </c>
      <c r="X64" s="3">
        <f t="shared" si="19"/>
        <v>1.2683847996566342</v>
      </c>
      <c r="Y64" s="3">
        <f t="shared" si="19"/>
        <v>1.2683847996566342</v>
      </c>
      <c r="Z64" s="3">
        <f t="shared" si="19"/>
        <v>1.2683847996566342</v>
      </c>
      <c r="AA64" s="3">
        <f t="shared" si="19"/>
        <v>1.2683847996566342</v>
      </c>
      <c r="AB64" s="3">
        <f t="shared" si="19"/>
        <v>1.2683847996566342</v>
      </c>
      <c r="AC64" s="3">
        <f t="shared" si="19"/>
        <v>1.2683847996566342</v>
      </c>
      <c r="AD64" s="3">
        <f t="shared" si="19"/>
        <v>1.2683847996566342</v>
      </c>
      <c r="AE64" s="3">
        <f t="shared" si="19"/>
        <v>1.2683847996566342</v>
      </c>
      <c r="AG64" s="3">
        <f aca="true" t="shared" si="20" ref="AG64:AP64">SQRT(1+(4*$E$9*$B$9/$H$14))</f>
        <v>1.2683847996566342</v>
      </c>
      <c r="AH64" s="3">
        <f t="shared" si="20"/>
        <v>1.2683847996566342</v>
      </c>
      <c r="AI64" s="3">
        <f t="shared" si="20"/>
        <v>1.2683847996566342</v>
      </c>
      <c r="AJ64" s="3">
        <f t="shared" si="20"/>
        <v>1.2683847996566342</v>
      </c>
      <c r="AK64" s="3">
        <f t="shared" si="20"/>
        <v>1.2683847996566342</v>
      </c>
      <c r="AL64" s="3">
        <f t="shared" si="20"/>
        <v>1.2683847996566342</v>
      </c>
      <c r="AM64" s="3">
        <f t="shared" si="20"/>
        <v>1.2683847996566342</v>
      </c>
      <c r="AN64" s="3">
        <f t="shared" si="20"/>
        <v>1.2683847996566342</v>
      </c>
      <c r="AO64" s="3">
        <f t="shared" si="20"/>
        <v>1.2683847996566342</v>
      </c>
      <c r="AP64" s="3">
        <f t="shared" si="20"/>
        <v>1.2683847996566342</v>
      </c>
    </row>
    <row r="65" spans="1:42" ht="12.75" hidden="1">
      <c r="A65" s="3"/>
      <c r="B65" s="3"/>
      <c r="C65" s="3"/>
      <c r="D65" s="3"/>
      <c r="E65" s="3"/>
      <c r="F65" s="3">
        <f>(A20-(F63*F64))/F66</f>
        <v>-1.7472210843617106</v>
      </c>
      <c r="G65" s="3">
        <f aca="true" t="shared" si="21" ref="G65:P65">(B31-(G63*G64))/G66</f>
        <v>-2.2437731964305248</v>
      </c>
      <c r="H65" s="3">
        <f t="shared" si="21"/>
        <v>-2.1886007395339897</v>
      </c>
      <c r="I65" s="3">
        <f t="shared" si="21"/>
        <v>-2.133428282637455</v>
      </c>
      <c r="J65" s="3">
        <f t="shared" si="21"/>
        <v>-2.07825582574092</v>
      </c>
      <c r="K65" s="3">
        <f t="shared" si="21"/>
        <v>-2.023083368844385</v>
      </c>
      <c r="L65" s="3">
        <f t="shared" si="21"/>
        <v>-1.9679109119478504</v>
      </c>
      <c r="M65" s="3">
        <f t="shared" si="21"/>
        <v>-1.9127384550513153</v>
      </c>
      <c r="N65" s="3">
        <f t="shared" si="21"/>
        <v>-1.8575659981547805</v>
      </c>
      <c r="O65" s="3">
        <f t="shared" si="21"/>
        <v>-1.8023935412582457</v>
      </c>
      <c r="P65" s="3">
        <f t="shared" si="21"/>
        <v>-1.7472210843617106</v>
      </c>
      <c r="R65" s="3"/>
      <c r="S65" s="3"/>
      <c r="T65" s="3"/>
      <c r="U65" s="3"/>
      <c r="V65" s="3">
        <f aca="true" t="shared" si="22" ref="V65:AE65">(B31-(V63*V64))/V66</f>
        <v>-2.2437731964305248</v>
      </c>
      <c r="W65" s="3">
        <f t="shared" si="22"/>
        <v>-2.1886007395339897</v>
      </c>
      <c r="X65" s="3">
        <f t="shared" si="22"/>
        <v>-2.133428282637455</v>
      </c>
      <c r="Y65" s="3">
        <f t="shared" si="22"/>
        <v>-2.07825582574092</v>
      </c>
      <c r="Z65" s="3">
        <f t="shared" si="22"/>
        <v>-2.023083368844385</v>
      </c>
      <c r="AA65" s="3">
        <f t="shared" si="22"/>
        <v>-1.9679109119478504</v>
      </c>
      <c r="AB65" s="3">
        <f t="shared" si="22"/>
        <v>-1.9127384550513153</v>
      </c>
      <c r="AC65" s="3">
        <f t="shared" si="22"/>
        <v>-1.8575659981547805</v>
      </c>
      <c r="AD65" s="3">
        <f t="shared" si="22"/>
        <v>-1.8023935412582457</v>
      </c>
      <c r="AE65" s="3">
        <f t="shared" si="22"/>
        <v>-1.7472210843617106</v>
      </c>
      <c r="AG65" s="3">
        <f aca="true" t="shared" si="23" ref="AG65:AP65">(B31-(AG63*AG64))/AG66</f>
        <v>-2.2437731964305248</v>
      </c>
      <c r="AH65" s="3">
        <f t="shared" si="23"/>
        <v>-2.1886007395339897</v>
      </c>
      <c r="AI65" s="3">
        <f t="shared" si="23"/>
        <v>-2.133428282637455</v>
      </c>
      <c r="AJ65" s="3">
        <f t="shared" si="23"/>
        <v>-2.07825582574092</v>
      </c>
      <c r="AK65" s="3">
        <f t="shared" si="23"/>
        <v>-2.023083368844385</v>
      </c>
      <c r="AL65" s="3">
        <f t="shared" si="23"/>
        <v>-1.9679109119478504</v>
      </c>
      <c r="AM65" s="3">
        <f t="shared" si="23"/>
        <v>-1.9127384550513153</v>
      </c>
      <c r="AN65" s="3">
        <f t="shared" si="23"/>
        <v>-1.8575659981547805</v>
      </c>
      <c r="AO65" s="3">
        <f t="shared" si="23"/>
        <v>-1.8023935412582457</v>
      </c>
      <c r="AP65" s="3">
        <f t="shared" si="23"/>
        <v>-1.7472210843617106</v>
      </c>
    </row>
    <row r="66" spans="1:42" ht="12.75" hidden="1">
      <c r="A66" s="3"/>
      <c r="B66" s="3"/>
      <c r="C66" s="3"/>
      <c r="D66" s="3"/>
      <c r="E66" s="3"/>
      <c r="F66" s="3">
        <f aca="true" t="shared" si="24" ref="F66:P66">2*SQRT($B$9*$H$14*$H$9)</f>
        <v>362.4997167972069</v>
      </c>
      <c r="G66" s="3">
        <f t="shared" si="24"/>
        <v>362.4997167972069</v>
      </c>
      <c r="H66" s="3">
        <f t="shared" si="24"/>
        <v>362.4997167972069</v>
      </c>
      <c r="I66" s="3">
        <f t="shared" si="24"/>
        <v>362.4997167972069</v>
      </c>
      <c r="J66" s="3">
        <f t="shared" si="24"/>
        <v>362.4997167972069</v>
      </c>
      <c r="K66" s="3">
        <f t="shared" si="24"/>
        <v>362.4997167972069</v>
      </c>
      <c r="L66" s="3">
        <f t="shared" si="24"/>
        <v>362.4997167972069</v>
      </c>
      <c r="M66" s="3">
        <f t="shared" si="24"/>
        <v>362.4997167972069</v>
      </c>
      <c r="N66" s="3">
        <f t="shared" si="24"/>
        <v>362.4997167972069</v>
      </c>
      <c r="O66" s="3">
        <f t="shared" si="24"/>
        <v>362.4997167972069</v>
      </c>
      <c r="P66" s="3">
        <f t="shared" si="24"/>
        <v>362.4997167972069</v>
      </c>
      <c r="R66" s="3"/>
      <c r="S66" s="3"/>
      <c r="T66" s="3"/>
      <c r="U66" s="3"/>
      <c r="V66" s="3">
        <f aca="true" t="shared" si="25" ref="V66:AE66">2*SQRT($B$9*$H$14*$H$9)</f>
        <v>362.4997167972069</v>
      </c>
      <c r="W66" s="3">
        <f t="shared" si="25"/>
        <v>362.4997167972069</v>
      </c>
      <c r="X66" s="3">
        <f t="shared" si="25"/>
        <v>362.4997167972069</v>
      </c>
      <c r="Y66" s="3">
        <f t="shared" si="25"/>
        <v>362.4997167972069</v>
      </c>
      <c r="Z66" s="3">
        <f t="shared" si="25"/>
        <v>362.4997167972069</v>
      </c>
      <c r="AA66" s="3">
        <f t="shared" si="25"/>
        <v>362.4997167972069</v>
      </c>
      <c r="AB66" s="3">
        <f t="shared" si="25"/>
        <v>362.4997167972069</v>
      </c>
      <c r="AC66" s="3">
        <f t="shared" si="25"/>
        <v>362.4997167972069</v>
      </c>
      <c r="AD66" s="3">
        <f t="shared" si="25"/>
        <v>362.4997167972069</v>
      </c>
      <c r="AE66" s="3">
        <f t="shared" si="25"/>
        <v>362.4997167972069</v>
      </c>
      <c r="AG66" s="3">
        <f aca="true" t="shared" si="26" ref="AG66:AP66">2*SQRT($B$9*$H$14*$H$9)</f>
        <v>362.4997167972069</v>
      </c>
      <c r="AH66" s="3">
        <f t="shared" si="26"/>
        <v>362.4997167972069</v>
      </c>
      <c r="AI66" s="3">
        <f t="shared" si="26"/>
        <v>362.4997167972069</v>
      </c>
      <c r="AJ66" s="3">
        <f t="shared" si="26"/>
        <v>362.4997167972069</v>
      </c>
      <c r="AK66" s="3">
        <f t="shared" si="26"/>
        <v>362.4997167972069</v>
      </c>
      <c r="AL66" s="3">
        <f t="shared" si="26"/>
        <v>362.4997167972069</v>
      </c>
      <c r="AM66" s="3">
        <f t="shared" si="26"/>
        <v>362.4997167972069</v>
      </c>
      <c r="AN66" s="3">
        <f t="shared" si="26"/>
        <v>362.4997167972069</v>
      </c>
      <c r="AO66" s="3">
        <f t="shared" si="26"/>
        <v>362.4997167972069</v>
      </c>
      <c r="AP66" s="3">
        <f t="shared" si="26"/>
        <v>362.4997167972069</v>
      </c>
    </row>
    <row r="67" spans="1:42" ht="12.75" hidden="1">
      <c r="A67" s="3"/>
      <c r="B67" s="3"/>
      <c r="C67" s="3"/>
      <c r="D67" s="3"/>
      <c r="E67" s="3"/>
      <c r="F67" s="3">
        <f aca="true" t="shared" si="27" ref="F67:P67">(F64*F65)/F66</f>
        <v>-0.006113518334922604</v>
      </c>
      <c r="G67" s="3">
        <f t="shared" si="27"/>
        <v>-0.007850951833492261</v>
      </c>
      <c r="H67" s="3">
        <f t="shared" si="27"/>
        <v>-0.007657903666984521</v>
      </c>
      <c r="I67" s="3">
        <f t="shared" si="27"/>
        <v>-0.007464855500476783</v>
      </c>
      <c r="J67" s="3">
        <f t="shared" si="27"/>
        <v>-0.0072718073339690424</v>
      </c>
      <c r="K67" s="3">
        <f t="shared" si="27"/>
        <v>-0.007078759167461302</v>
      </c>
      <c r="L67" s="3">
        <f t="shared" si="27"/>
        <v>-0.006885711000953563</v>
      </c>
      <c r="M67" s="3">
        <f t="shared" si="27"/>
        <v>-0.006692662834445823</v>
      </c>
      <c r="N67" s="3">
        <f t="shared" si="27"/>
        <v>-0.006499614667938084</v>
      </c>
      <c r="O67" s="3">
        <f t="shared" si="27"/>
        <v>-0.006306566501430344</v>
      </c>
      <c r="P67" s="3">
        <f t="shared" si="27"/>
        <v>-0.006113518334922604</v>
      </c>
      <c r="R67" s="3"/>
      <c r="S67" s="3"/>
      <c r="T67" s="3"/>
      <c r="U67" s="3"/>
      <c r="V67" s="3">
        <f>(V64*V65)/V66</f>
        <v>-0.007850951833492261</v>
      </c>
      <c r="W67" s="3">
        <f aca="true" t="shared" si="28" ref="W67:AE67">(W64*W65)/W66</f>
        <v>-0.007657903666984521</v>
      </c>
      <c r="X67" s="3">
        <f t="shared" si="28"/>
        <v>-0.007464855500476783</v>
      </c>
      <c r="Y67" s="3">
        <f t="shared" si="28"/>
        <v>-0.0072718073339690424</v>
      </c>
      <c r="Z67" s="3">
        <f t="shared" si="28"/>
        <v>-0.007078759167461302</v>
      </c>
      <c r="AA67" s="3">
        <f t="shared" si="28"/>
        <v>-0.006885711000953563</v>
      </c>
      <c r="AB67" s="3">
        <f t="shared" si="28"/>
        <v>-0.006692662834445823</v>
      </c>
      <c r="AC67" s="3">
        <f t="shared" si="28"/>
        <v>-0.006499614667938084</v>
      </c>
      <c r="AD67" s="3">
        <f t="shared" si="28"/>
        <v>-0.006306566501430344</v>
      </c>
      <c r="AE67" s="3">
        <f t="shared" si="28"/>
        <v>-0.006113518334922604</v>
      </c>
      <c r="AG67" s="3">
        <f>(AG64*AG65)/AG66</f>
        <v>-0.007850951833492261</v>
      </c>
      <c r="AH67" s="3">
        <f aca="true" t="shared" si="29" ref="AH67:AP67">(AH64*AH65)/AH66</f>
        <v>-0.007657903666984521</v>
      </c>
      <c r="AI67" s="3">
        <f t="shared" si="29"/>
        <v>-0.007464855500476783</v>
      </c>
      <c r="AJ67" s="3">
        <f t="shared" si="29"/>
        <v>-0.0072718073339690424</v>
      </c>
      <c r="AK67" s="3">
        <f t="shared" si="29"/>
        <v>-0.007078759167461302</v>
      </c>
      <c r="AL67" s="3">
        <f t="shared" si="29"/>
        <v>-0.006885711000953563</v>
      </c>
      <c r="AM67" s="3">
        <f t="shared" si="29"/>
        <v>-0.006692662834445823</v>
      </c>
      <c r="AN67" s="3">
        <f t="shared" si="29"/>
        <v>-0.006499614667938084</v>
      </c>
      <c r="AO67" s="3">
        <f t="shared" si="29"/>
        <v>-0.006306566501430344</v>
      </c>
      <c r="AP67" s="3">
        <f t="shared" si="29"/>
        <v>-0.006113518334922604</v>
      </c>
    </row>
    <row r="68" spans="1:42" ht="12.75" hidden="1">
      <c r="A68" s="3"/>
      <c r="B68" s="3"/>
      <c r="C68" s="3"/>
      <c r="D68" s="3"/>
      <c r="E68" s="3"/>
      <c r="F68" s="3">
        <f aca="true" t="shared" si="30" ref="F68:P68">IF(F65&gt;10,0,IF(F65&gt;=0,ERFC(F65),IF(F65&lt;-3.75,2,1+ERF(ABS(F65)))))</f>
        <v>1.9865242988107772</v>
      </c>
      <c r="G68" s="3">
        <f t="shared" si="30"/>
        <v>1.9984921812300551</v>
      </c>
      <c r="H68" s="3">
        <f t="shared" si="30"/>
        <v>1.9980328585027851</v>
      </c>
      <c r="I68" s="3">
        <f t="shared" si="30"/>
        <v>1.9974481393479793</v>
      </c>
      <c r="J68" s="3">
        <f t="shared" si="30"/>
        <v>1.9967083057331054</v>
      </c>
      <c r="K68" s="3">
        <f t="shared" si="30"/>
        <v>1.9957778876309762</v>
      </c>
      <c r="L68" s="3">
        <f t="shared" si="30"/>
        <v>1.994614887949563</v>
      </c>
      <c r="M68" s="3">
        <f t="shared" si="30"/>
        <v>1.9931699859463325</v>
      </c>
      <c r="N68" s="3">
        <f t="shared" si="30"/>
        <v>1.9913857407185758</v>
      </c>
      <c r="O68" s="3">
        <f t="shared" si="30"/>
        <v>1.9891958217371708</v>
      </c>
      <c r="P68" s="3">
        <f t="shared" si="30"/>
        <v>1.9865242988107772</v>
      </c>
      <c r="R68" s="3"/>
      <c r="S68" s="3"/>
      <c r="T68" s="3"/>
      <c r="U68" s="3"/>
      <c r="V68" s="3">
        <f aca="true" t="shared" si="31" ref="V68:AE68">IF(V65&gt;10,0,IF(V65&gt;=0,ERFC(V65),IF(V65&lt;-3.75,2,1+ERF(ABS(V65)))))</f>
        <v>1.9984921812300551</v>
      </c>
      <c r="W68" s="3">
        <f t="shared" si="31"/>
        <v>1.9980328585027851</v>
      </c>
      <c r="X68" s="3">
        <f t="shared" si="31"/>
        <v>1.9974481393479793</v>
      </c>
      <c r="Y68" s="3">
        <f t="shared" si="31"/>
        <v>1.9967083057331054</v>
      </c>
      <c r="Z68" s="3">
        <f t="shared" si="31"/>
        <v>1.9957778876309762</v>
      </c>
      <c r="AA68" s="3">
        <f t="shared" si="31"/>
        <v>1.994614887949563</v>
      </c>
      <c r="AB68" s="3">
        <f t="shared" si="31"/>
        <v>1.9931699859463325</v>
      </c>
      <c r="AC68" s="3">
        <f t="shared" si="31"/>
        <v>1.9913857407185758</v>
      </c>
      <c r="AD68" s="3">
        <f t="shared" si="31"/>
        <v>1.9891958217371708</v>
      </c>
      <c r="AE68" s="3">
        <f t="shared" si="31"/>
        <v>1.9865242988107772</v>
      </c>
      <c r="AG68" s="3">
        <f aca="true" t="shared" si="32" ref="AG68:AP68">IF(AG65&gt;10,0,IF(AG65&gt;=0,ERFC(AG65),IF(AG65&lt;-3.75,2,1+ERF(ABS(AG65)))))</f>
        <v>1.9984921812300551</v>
      </c>
      <c r="AH68" s="3">
        <f t="shared" si="32"/>
        <v>1.9980328585027851</v>
      </c>
      <c r="AI68" s="3">
        <f t="shared" si="32"/>
        <v>1.9974481393479793</v>
      </c>
      <c r="AJ68" s="3">
        <f t="shared" si="32"/>
        <v>1.9967083057331054</v>
      </c>
      <c r="AK68" s="3">
        <f t="shared" si="32"/>
        <v>1.9957778876309762</v>
      </c>
      <c r="AL68" s="3">
        <f t="shared" si="32"/>
        <v>1.994614887949563</v>
      </c>
      <c r="AM68" s="3">
        <f t="shared" si="32"/>
        <v>1.9931699859463325</v>
      </c>
      <c r="AN68" s="3">
        <f t="shared" si="32"/>
        <v>1.9913857407185758</v>
      </c>
      <c r="AO68" s="3">
        <f t="shared" si="32"/>
        <v>1.9891958217371708</v>
      </c>
      <c r="AP68" s="3">
        <f t="shared" si="32"/>
        <v>1.9865242988107772</v>
      </c>
    </row>
    <row r="69" spans="1:42" ht="12.75" hidden="1">
      <c r="A69" s="3"/>
      <c r="B69" s="3"/>
      <c r="C69" s="3"/>
      <c r="D69" s="3"/>
      <c r="E69" s="3"/>
      <c r="F69" s="3">
        <f>2*SQRT($C$9*A20)</f>
        <v>63.245553203367585</v>
      </c>
      <c r="G69" s="3">
        <f aca="true" t="shared" si="33" ref="G69:P69">2*SQRT($C$9*B31)</f>
        <v>20</v>
      </c>
      <c r="H69" s="3">
        <f t="shared" si="33"/>
        <v>28.284271247461902</v>
      </c>
      <c r="I69" s="3">
        <f t="shared" si="33"/>
        <v>34.64101615137755</v>
      </c>
      <c r="J69" s="3">
        <f t="shared" si="33"/>
        <v>40</v>
      </c>
      <c r="K69" s="3">
        <f t="shared" si="33"/>
        <v>44.721359549995796</v>
      </c>
      <c r="L69" s="3">
        <f t="shared" si="33"/>
        <v>48.98979485566356</v>
      </c>
      <c r="M69" s="3">
        <f t="shared" si="33"/>
        <v>52.91502622129181</v>
      </c>
      <c r="N69" s="3">
        <f t="shared" si="33"/>
        <v>56.568542494923804</v>
      </c>
      <c r="O69" s="3">
        <f t="shared" si="33"/>
        <v>60</v>
      </c>
      <c r="P69" s="3">
        <f t="shared" si="33"/>
        <v>63.245553203367585</v>
      </c>
      <c r="R69" s="3"/>
      <c r="S69" s="3"/>
      <c r="T69" s="3"/>
      <c r="U69" s="3"/>
      <c r="V69" s="3">
        <f aca="true" t="shared" si="34" ref="V69:AE69">2*SQRT($C$9*B31)</f>
        <v>20</v>
      </c>
      <c r="W69" s="3">
        <f t="shared" si="34"/>
        <v>28.284271247461902</v>
      </c>
      <c r="X69" s="3">
        <f t="shared" si="34"/>
        <v>34.64101615137755</v>
      </c>
      <c r="Y69" s="3">
        <f t="shared" si="34"/>
        <v>40</v>
      </c>
      <c r="Z69" s="3">
        <f t="shared" si="34"/>
        <v>44.721359549995796</v>
      </c>
      <c r="AA69" s="3">
        <f t="shared" si="34"/>
        <v>48.98979485566356</v>
      </c>
      <c r="AB69" s="3">
        <f t="shared" si="34"/>
        <v>52.91502622129181</v>
      </c>
      <c r="AC69" s="3">
        <f t="shared" si="34"/>
        <v>56.568542494923804</v>
      </c>
      <c r="AD69" s="3">
        <f t="shared" si="34"/>
        <v>60</v>
      </c>
      <c r="AE69" s="3">
        <f t="shared" si="34"/>
        <v>63.245553203367585</v>
      </c>
      <c r="AG69" s="3">
        <f aca="true" t="shared" si="35" ref="AG69:AP69">2*SQRT($C$9*B31)</f>
        <v>20</v>
      </c>
      <c r="AH69" s="3">
        <f t="shared" si="35"/>
        <v>28.284271247461902</v>
      </c>
      <c r="AI69" s="3">
        <f t="shared" si="35"/>
        <v>34.64101615137755</v>
      </c>
      <c r="AJ69" s="3">
        <f t="shared" si="35"/>
        <v>40</v>
      </c>
      <c r="AK69" s="3">
        <f t="shared" si="35"/>
        <v>44.721359549995796</v>
      </c>
      <c r="AL69" s="3">
        <f t="shared" si="35"/>
        <v>48.98979485566356</v>
      </c>
      <c r="AM69" s="3">
        <f t="shared" si="35"/>
        <v>52.91502622129181</v>
      </c>
      <c r="AN69" s="3">
        <f t="shared" si="35"/>
        <v>56.568542494923804</v>
      </c>
      <c r="AO69" s="3">
        <f t="shared" si="35"/>
        <v>60</v>
      </c>
      <c r="AP69" s="3">
        <f t="shared" si="35"/>
        <v>63.245553203367585</v>
      </c>
    </row>
    <row r="70" spans="1:42" ht="12.75" hidden="1">
      <c r="A70" s="3"/>
      <c r="B70" s="3"/>
      <c r="C70" s="3"/>
      <c r="D70" s="3"/>
      <c r="E70" s="3"/>
      <c r="F70" s="3">
        <f>2*SQRT($D$9*A20)</f>
        <v>0.282842712474619</v>
      </c>
      <c r="G70" s="3">
        <f aca="true" t="shared" si="36" ref="G70:P70">2*SQRT($D$9*B31)</f>
        <v>0.08944271909999159</v>
      </c>
      <c r="H70" s="3">
        <f t="shared" si="36"/>
        <v>0.12649110640673517</v>
      </c>
      <c r="I70" s="3">
        <f t="shared" si="36"/>
        <v>0.15491933384829668</v>
      </c>
      <c r="J70" s="3">
        <f t="shared" si="36"/>
        <v>0.17888543819998318</v>
      </c>
      <c r="K70" s="3">
        <f t="shared" si="36"/>
        <v>0.2</v>
      </c>
      <c r="L70" s="3">
        <f t="shared" si="36"/>
        <v>0.21908902300206645</v>
      </c>
      <c r="M70" s="3">
        <f t="shared" si="36"/>
        <v>0.23664319132398465</v>
      </c>
      <c r="N70" s="3">
        <f t="shared" si="36"/>
        <v>0.25298221281347033</v>
      </c>
      <c r="O70" s="3">
        <f t="shared" si="36"/>
        <v>0.2683281572999748</v>
      </c>
      <c r="P70" s="3">
        <f t="shared" si="36"/>
        <v>0.282842712474619</v>
      </c>
      <c r="R70" s="3"/>
      <c r="S70" s="3"/>
      <c r="T70" s="3"/>
      <c r="U70" s="3"/>
      <c r="V70" s="3">
        <f aca="true" t="shared" si="37" ref="V70:AE70">2*SQRT($D$9*B31)</f>
        <v>0.08944271909999159</v>
      </c>
      <c r="W70" s="3">
        <f t="shared" si="37"/>
        <v>0.12649110640673517</v>
      </c>
      <c r="X70" s="3">
        <f t="shared" si="37"/>
        <v>0.15491933384829668</v>
      </c>
      <c r="Y70" s="3">
        <f t="shared" si="37"/>
        <v>0.17888543819998318</v>
      </c>
      <c r="Z70" s="3">
        <f t="shared" si="37"/>
        <v>0.2</v>
      </c>
      <c r="AA70" s="3">
        <f t="shared" si="37"/>
        <v>0.21908902300206645</v>
      </c>
      <c r="AB70" s="3">
        <f t="shared" si="37"/>
        <v>0.23664319132398465</v>
      </c>
      <c r="AC70" s="3">
        <f t="shared" si="37"/>
        <v>0.25298221281347033</v>
      </c>
      <c r="AD70" s="3">
        <f t="shared" si="37"/>
        <v>0.2683281572999748</v>
      </c>
      <c r="AE70" s="3">
        <f t="shared" si="37"/>
        <v>0.282842712474619</v>
      </c>
      <c r="AG70" s="3">
        <f aca="true" t="shared" si="38" ref="AG70:AP70">2*SQRT($D$9*B31)</f>
        <v>0.08944271909999159</v>
      </c>
      <c r="AH70" s="3">
        <f t="shared" si="38"/>
        <v>0.12649110640673517</v>
      </c>
      <c r="AI70" s="3">
        <f t="shared" si="38"/>
        <v>0.15491933384829668</v>
      </c>
      <c r="AJ70" s="3">
        <f t="shared" si="38"/>
        <v>0.17888543819998318</v>
      </c>
      <c r="AK70" s="3">
        <f t="shared" si="38"/>
        <v>0.2</v>
      </c>
      <c r="AL70" s="3">
        <f t="shared" si="38"/>
        <v>0.21908902300206645</v>
      </c>
      <c r="AM70" s="3">
        <f t="shared" si="38"/>
        <v>0.23664319132398465</v>
      </c>
      <c r="AN70" s="3">
        <f t="shared" si="38"/>
        <v>0.25298221281347033</v>
      </c>
      <c r="AO70" s="3">
        <f t="shared" si="38"/>
        <v>0.2683281572999748</v>
      </c>
      <c r="AP70" s="3">
        <f t="shared" si="38"/>
        <v>0.282842712474619</v>
      </c>
    </row>
    <row r="71" spans="1:42" ht="12.75" hidden="1">
      <c r="A71" s="3"/>
      <c r="B71" s="3"/>
      <c r="C71" s="3"/>
      <c r="D71" s="3"/>
      <c r="E71" s="3"/>
      <c r="F71" s="3">
        <f>((B20+($F$9/2))/F69)</f>
        <v>2.3717082451262845</v>
      </c>
      <c r="G71" s="3">
        <f aca="true" t="shared" si="39" ref="G71:P71">(($A$32+($F$9/2))/G69)</f>
        <v>12.5</v>
      </c>
      <c r="H71" s="3">
        <f t="shared" si="39"/>
        <v>8.838834764831844</v>
      </c>
      <c r="I71" s="3">
        <f t="shared" si="39"/>
        <v>7.216878364870321</v>
      </c>
      <c r="J71" s="3">
        <f t="shared" si="39"/>
        <v>6.25</v>
      </c>
      <c r="K71" s="3">
        <f t="shared" si="39"/>
        <v>5.590169943749474</v>
      </c>
      <c r="L71" s="3">
        <f t="shared" si="39"/>
        <v>5.103103630798288</v>
      </c>
      <c r="M71" s="3">
        <f t="shared" si="39"/>
        <v>4.72455591261534</v>
      </c>
      <c r="N71" s="3">
        <f t="shared" si="39"/>
        <v>4.419417382415922</v>
      </c>
      <c r="O71" s="3">
        <f t="shared" si="39"/>
        <v>4.166666666666667</v>
      </c>
      <c r="P71" s="3">
        <f t="shared" si="39"/>
        <v>3.952847075210474</v>
      </c>
      <c r="R71" s="3"/>
      <c r="S71" s="3"/>
      <c r="T71" s="3"/>
      <c r="U71" s="3"/>
      <c r="V71" s="3">
        <f aca="true" t="shared" si="40" ref="V71:AE71">(($A$33+($F$9/2))/V69)</f>
        <v>7.5</v>
      </c>
      <c r="W71" s="3">
        <f t="shared" si="40"/>
        <v>5.303300858899107</v>
      </c>
      <c r="X71" s="3">
        <f t="shared" si="40"/>
        <v>4.330127018922193</v>
      </c>
      <c r="Y71" s="3">
        <f t="shared" si="40"/>
        <v>3.75</v>
      </c>
      <c r="Z71" s="3">
        <f t="shared" si="40"/>
        <v>3.3541019662496843</v>
      </c>
      <c r="AA71" s="3">
        <f t="shared" si="40"/>
        <v>3.0618621784789726</v>
      </c>
      <c r="AB71" s="3">
        <f t="shared" si="40"/>
        <v>2.834733547569204</v>
      </c>
      <c r="AC71" s="3">
        <f t="shared" si="40"/>
        <v>2.6516504294495533</v>
      </c>
      <c r="AD71" s="3">
        <f t="shared" si="40"/>
        <v>2.5</v>
      </c>
      <c r="AE71" s="3">
        <f t="shared" si="40"/>
        <v>2.3717082451262845</v>
      </c>
      <c r="AG71" s="3">
        <f aca="true" t="shared" si="41" ref="AG71:AP71">(($A$34+($F$9/2))/AG69)</f>
        <v>2.5</v>
      </c>
      <c r="AH71" s="3">
        <f t="shared" si="41"/>
        <v>1.7677669529663687</v>
      </c>
      <c r="AI71" s="3">
        <f t="shared" si="41"/>
        <v>1.4433756729740643</v>
      </c>
      <c r="AJ71" s="3">
        <f t="shared" si="41"/>
        <v>1.25</v>
      </c>
      <c r="AK71" s="3">
        <f t="shared" si="41"/>
        <v>1.118033988749895</v>
      </c>
      <c r="AL71" s="3">
        <f t="shared" si="41"/>
        <v>1.0206207261596576</v>
      </c>
      <c r="AM71" s="3">
        <f t="shared" si="41"/>
        <v>0.944911182523068</v>
      </c>
      <c r="AN71" s="3">
        <f t="shared" si="41"/>
        <v>0.8838834764831843</v>
      </c>
      <c r="AO71" s="3">
        <f t="shared" si="41"/>
        <v>0.8333333333333334</v>
      </c>
      <c r="AP71" s="3">
        <f t="shared" si="41"/>
        <v>0.7905694150420949</v>
      </c>
    </row>
    <row r="72" spans="1:42" ht="12.75" hidden="1">
      <c r="A72" s="3"/>
      <c r="B72" s="3"/>
      <c r="C72" s="3"/>
      <c r="D72" s="3"/>
      <c r="E72" s="3"/>
      <c r="F72" s="3">
        <f>((B20-($F$9/2))/F69)</f>
        <v>0.7905694150420949</v>
      </c>
      <c r="G72" s="3">
        <f aca="true" t="shared" si="42" ref="G72:P72">(($A$32-($F$9/2))/G69)</f>
        <v>7.5</v>
      </c>
      <c r="H72" s="3">
        <f t="shared" si="42"/>
        <v>5.303300858899107</v>
      </c>
      <c r="I72" s="3">
        <f t="shared" si="42"/>
        <v>4.330127018922193</v>
      </c>
      <c r="J72" s="3">
        <f t="shared" si="42"/>
        <v>3.75</v>
      </c>
      <c r="K72" s="3">
        <f t="shared" si="42"/>
        <v>3.3541019662496843</v>
      </c>
      <c r="L72" s="3">
        <f t="shared" si="42"/>
        <v>3.0618621784789726</v>
      </c>
      <c r="M72" s="3">
        <f t="shared" si="42"/>
        <v>2.834733547569204</v>
      </c>
      <c r="N72" s="3">
        <f t="shared" si="42"/>
        <v>2.6516504294495533</v>
      </c>
      <c r="O72" s="3">
        <f t="shared" si="42"/>
        <v>2.5</v>
      </c>
      <c r="P72" s="3">
        <f t="shared" si="42"/>
        <v>2.3717082451262845</v>
      </c>
      <c r="R72" s="3"/>
      <c r="S72" s="3"/>
      <c r="T72" s="3"/>
      <c r="U72" s="3"/>
      <c r="V72" s="3">
        <f aca="true" t="shared" si="43" ref="V72:AE72">(($A$33-($F$9/2))/V69)</f>
        <v>2.5</v>
      </c>
      <c r="W72" s="3">
        <f t="shared" si="43"/>
        <v>1.7677669529663687</v>
      </c>
      <c r="X72" s="3">
        <f t="shared" si="43"/>
        <v>1.4433756729740643</v>
      </c>
      <c r="Y72" s="3">
        <f t="shared" si="43"/>
        <v>1.25</v>
      </c>
      <c r="Z72" s="3">
        <f t="shared" si="43"/>
        <v>1.118033988749895</v>
      </c>
      <c r="AA72" s="3">
        <f t="shared" si="43"/>
        <v>1.0206207261596576</v>
      </c>
      <c r="AB72" s="3">
        <f t="shared" si="43"/>
        <v>0.944911182523068</v>
      </c>
      <c r="AC72" s="3">
        <f t="shared" si="43"/>
        <v>0.8838834764831843</v>
      </c>
      <c r="AD72" s="3">
        <f t="shared" si="43"/>
        <v>0.8333333333333334</v>
      </c>
      <c r="AE72" s="3">
        <f t="shared" si="43"/>
        <v>0.7905694150420949</v>
      </c>
      <c r="AG72" s="3">
        <f aca="true" t="shared" si="44" ref="AG72:AP72">(($A$34-($F$9/2))/AG69)</f>
        <v>-2.5</v>
      </c>
      <c r="AH72" s="3">
        <f t="shared" si="44"/>
        <v>-1.7677669529663687</v>
      </c>
      <c r="AI72" s="3">
        <f t="shared" si="44"/>
        <v>-1.4433756729740643</v>
      </c>
      <c r="AJ72" s="3">
        <f t="shared" si="44"/>
        <v>-1.25</v>
      </c>
      <c r="AK72" s="3">
        <f t="shared" si="44"/>
        <v>-1.118033988749895</v>
      </c>
      <c r="AL72" s="3">
        <f t="shared" si="44"/>
        <v>-1.0206207261596576</v>
      </c>
      <c r="AM72" s="3">
        <f t="shared" si="44"/>
        <v>-0.944911182523068</v>
      </c>
      <c r="AN72" s="3">
        <f t="shared" si="44"/>
        <v>-0.8838834764831843</v>
      </c>
      <c r="AO72" s="3">
        <f t="shared" si="44"/>
        <v>-0.8333333333333334</v>
      </c>
      <c r="AP72" s="3">
        <f t="shared" si="44"/>
        <v>-0.7905694150420949</v>
      </c>
    </row>
    <row r="73" spans="1:42" ht="12.75" hidden="1">
      <c r="A73" s="3"/>
      <c r="B73" s="3"/>
      <c r="C73" s="3"/>
      <c r="D73" s="3"/>
      <c r="E73" s="3"/>
      <c r="F73" s="3">
        <f aca="true" t="shared" si="45" ref="F73:P73">($C$20+$G$9)/F70</f>
        <v>35.35533905932738</v>
      </c>
      <c r="G73" s="3">
        <f t="shared" si="45"/>
        <v>111.80339887498948</v>
      </c>
      <c r="H73" s="3">
        <f t="shared" si="45"/>
        <v>79.05694150420949</v>
      </c>
      <c r="I73" s="3">
        <f t="shared" si="45"/>
        <v>64.54972243679028</v>
      </c>
      <c r="J73" s="3">
        <f t="shared" si="45"/>
        <v>55.90169943749474</v>
      </c>
      <c r="K73" s="3">
        <f t="shared" si="45"/>
        <v>50</v>
      </c>
      <c r="L73" s="3">
        <f t="shared" si="45"/>
        <v>45.64354645876384</v>
      </c>
      <c r="M73" s="3">
        <f t="shared" si="45"/>
        <v>42.25771273642583</v>
      </c>
      <c r="N73" s="3">
        <f t="shared" si="45"/>
        <v>39.528470752104745</v>
      </c>
      <c r="O73" s="3">
        <f t="shared" si="45"/>
        <v>37.26779962499649</v>
      </c>
      <c r="P73" s="3">
        <f t="shared" si="45"/>
        <v>35.35533905932738</v>
      </c>
      <c r="R73" s="3"/>
      <c r="S73" s="3"/>
      <c r="T73" s="3"/>
      <c r="U73" s="3"/>
      <c r="V73" s="3">
        <f aca="true" t="shared" si="46" ref="V73:AE73">($C$20+$G$9)/V70</f>
        <v>111.80339887498948</v>
      </c>
      <c r="W73" s="3">
        <f t="shared" si="46"/>
        <v>79.05694150420949</v>
      </c>
      <c r="X73" s="3">
        <f t="shared" si="46"/>
        <v>64.54972243679028</v>
      </c>
      <c r="Y73" s="3">
        <f t="shared" si="46"/>
        <v>55.90169943749474</v>
      </c>
      <c r="Z73" s="3">
        <f t="shared" si="46"/>
        <v>50</v>
      </c>
      <c r="AA73" s="3">
        <f t="shared" si="46"/>
        <v>45.64354645876384</v>
      </c>
      <c r="AB73" s="3">
        <f t="shared" si="46"/>
        <v>42.25771273642583</v>
      </c>
      <c r="AC73" s="3">
        <f t="shared" si="46"/>
        <v>39.528470752104745</v>
      </c>
      <c r="AD73" s="3">
        <f t="shared" si="46"/>
        <v>37.26779962499649</v>
      </c>
      <c r="AE73" s="3">
        <f t="shared" si="46"/>
        <v>35.35533905932738</v>
      </c>
      <c r="AG73" s="3">
        <f aca="true" t="shared" si="47" ref="AG73:AP73">($C$20+$G$9)/AG70</f>
        <v>111.80339887498948</v>
      </c>
      <c r="AH73" s="3">
        <f t="shared" si="47"/>
        <v>79.05694150420949</v>
      </c>
      <c r="AI73" s="3">
        <f t="shared" si="47"/>
        <v>64.54972243679028</v>
      </c>
      <c r="AJ73" s="3">
        <f t="shared" si="47"/>
        <v>55.90169943749474</v>
      </c>
      <c r="AK73" s="3">
        <f t="shared" si="47"/>
        <v>50</v>
      </c>
      <c r="AL73" s="3">
        <f t="shared" si="47"/>
        <v>45.64354645876384</v>
      </c>
      <c r="AM73" s="3">
        <f t="shared" si="47"/>
        <v>42.25771273642583</v>
      </c>
      <c r="AN73" s="3">
        <f t="shared" si="47"/>
        <v>39.528470752104745</v>
      </c>
      <c r="AO73" s="3">
        <f t="shared" si="47"/>
        <v>37.26779962499649</v>
      </c>
      <c r="AP73" s="3">
        <f t="shared" si="47"/>
        <v>35.35533905932738</v>
      </c>
    </row>
    <row r="74" spans="1:42" ht="12.75" hidden="1">
      <c r="A74" s="3"/>
      <c r="B74" s="3"/>
      <c r="C74" s="3"/>
      <c r="D74" s="3"/>
      <c r="E74" s="3"/>
      <c r="F74" s="3">
        <f aca="true" t="shared" si="48" ref="F74:P74">($C$20-$G$9)/F70</f>
        <v>-35.35533905932738</v>
      </c>
      <c r="G74" s="3">
        <f t="shared" si="48"/>
        <v>-111.80339887498948</v>
      </c>
      <c r="H74" s="3">
        <f t="shared" si="48"/>
        <v>-79.05694150420949</v>
      </c>
      <c r="I74" s="3">
        <f t="shared" si="48"/>
        <v>-64.54972243679028</v>
      </c>
      <c r="J74" s="3">
        <f t="shared" si="48"/>
        <v>-55.90169943749474</v>
      </c>
      <c r="K74" s="3">
        <f t="shared" si="48"/>
        <v>-50</v>
      </c>
      <c r="L74" s="3">
        <f t="shared" si="48"/>
        <v>-45.64354645876384</v>
      </c>
      <c r="M74" s="3">
        <f t="shared" si="48"/>
        <v>-42.25771273642583</v>
      </c>
      <c r="N74" s="3">
        <f t="shared" si="48"/>
        <v>-39.528470752104745</v>
      </c>
      <c r="O74" s="3">
        <f t="shared" si="48"/>
        <v>-37.26779962499649</v>
      </c>
      <c r="P74" s="3">
        <f t="shared" si="48"/>
        <v>-35.35533905932738</v>
      </c>
      <c r="R74" s="3"/>
      <c r="S74" s="3"/>
      <c r="T74" s="3"/>
      <c r="U74" s="3"/>
      <c r="V74" s="3">
        <f aca="true" t="shared" si="49" ref="V74:AE74">($C$20-$G$9)/V70</f>
        <v>-111.80339887498948</v>
      </c>
      <c r="W74" s="3">
        <f t="shared" si="49"/>
        <v>-79.05694150420949</v>
      </c>
      <c r="X74" s="3">
        <f t="shared" si="49"/>
        <v>-64.54972243679028</v>
      </c>
      <c r="Y74" s="3">
        <f t="shared" si="49"/>
        <v>-55.90169943749474</v>
      </c>
      <c r="Z74" s="3">
        <f t="shared" si="49"/>
        <v>-50</v>
      </c>
      <c r="AA74" s="3">
        <f t="shared" si="49"/>
        <v>-45.64354645876384</v>
      </c>
      <c r="AB74" s="3">
        <f t="shared" si="49"/>
        <v>-42.25771273642583</v>
      </c>
      <c r="AC74" s="3">
        <f t="shared" si="49"/>
        <v>-39.528470752104745</v>
      </c>
      <c r="AD74" s="3">
        <f t="shared" si="49"/>
        <v>-37.26779962499649</v>
      </c>
      <c r="AE74" s="3">
        <f t="shared" si="49"/>
        <v>-35.35533905932738</v>
      </c>
      <c r="AG74" s="3">
        <f aca="true" t="shared" si="50" ref="AG74:AP74">($C$20-$G$9)/AG70</f>
        <v>-111.80339887498948</v>
      </c>
      <c r="AH74" s="3">
        <f t="shared" si="50"/>
        <v>-79.05694150420949</v>
      </c>
      <c r="AI74" s="3">
        <f t="shared" si="50"/>
        <v>-64.54972243679028</v>
      </c>
      <c r="AJ74" s="3">
        <f t="shared" si="50"/>
        <v>-55.90169943749474</v>
      </c>
      <c r="AK74" s="3">
        <f t="shared" si="50"/>
        <v>-50</v>
      </c>
      <c r="AL74" s="3">
        <f t="shared" si="50"/>
        <v>-45.64354645876384</v>
      </c>
      <c r="AM74" s="3">
        <f t="shared" si="50"/>
        <v>-42.25771273642583</v>
      </c>
      <c r="AN74" s="3">
        <f t="shared" si="50"/>
        <v>-39.528470752104745</v>
      </c>
      <c r="AO74" s="3">
        <f t="shared" si="50"/>
        <v>-37.26779962499649</v>
      </c>
      <c r="AP74" s="3">
        <f t="shared" si="50"/>
        <v>-35.35533905932738</v>
      </c>
    </row>
    <row r="75" spans="1:42" ht="12.75" hidden="1">
      <c r="A75" s="3"/>
      <c r="B75" s="3"/>
      <c r="C75" s="3"/>
      <c r="D75" s="3"/>
      <c r="E75" s="3"/>
      <c r="F75" s="3">
        <f aca="true" t="shared" si="51" ref="F75:P75">IF(F71&gt;3.5,1,IF(F71&gt;=0,ERF(F71),IF(F71&gt;-3.5,-ERF(ABS(F71)),-1)))</f>
        <v>0.9992037698424092</v>
      </c>
      <c r="G75" s="3">
        <f t="shared" si="51"/>
        <v>1</v>
      </c>
      <c r="H75" s="3">
        <f t="shared" si="51"/>
        <v>1</v>
      </c>
      <c r="I75" s="3">
        <f t="shared" si="51"/>
        <v>1</v>
      </c>
      <c r="J75" s="3">
        <f t="shared" si="51"/>
        <v>1</v>
      </c>
      <c r="K75" s="3">
        <f t="shared" si="51"/>
        <v>1</v>
      </c>
      <c r="L75" s="3">
        <f t="shared" si="51"/>
        <v>1</v>
      </c>
      <c r="M75" s="3">
        <f t="shared" si="51"/>
        <v>1</v>
      </c>
      <c r="N75" s="3">
        <f t="shared" si="51"/>
        <v>1</v>
      </c>
      <c r="O75" s="3">
        <f t="shared" si="51"/>
        <v>1</v>
      </c>
      <c r="P75" s="3">
        <f t="shared" si="51"/>
        <v>1</v>
      </c>
      <c r="R75" s="3"/>
      <c r="S75" s="3"/>
      <c r="T75" s="3"/>
      <c r="U75" s="3"/>
      <c r="V75" s="3">
        <f aca="true" t="shared" si="52" ref="V75:AE75">IF(V71&gt;3.5,1,IF(V71&gt;=0,ERF(V71),IF(V71&gt;-3.5,-ERF(ABS(V71)),-1)))</f>
        <v>1</v>
      </c>
      <c r="W75" s="3">
        <f t="shared" si="52"/>
        <v>1</v>
      </c>
      <c r="X75" s="3">
        <f t="shared" si="52"/>
        <v>1</v>
      </c>
      <c r="Y75" s="3">
        <f t="shared" si="52"/>
        <v>1</v>
      </c>
      <c r="Z75" s="3">
        <f t="shared" si="52"/>
        <v>0.999997898564044</v>
      </c>
      <c r="AA75" s="3">
        <f t="shared" si="52"/>
        <v>0.9999850976642076</v>
      </c>
      <c r="AB75" s="3">
        <f t="shared" si="52"/>
        <v>0.9999390025711035</v>
      </c>
      <c r="AC75" s="3">
        <f t="shared" si="52"/>
        <v>0.9998231654295984</v>
      </c>
      <c r="AD75" s="3">
        <f t="shared" si="52"/>
        <v>0.999593047982555</v>
      </c>
      <c r="AE75" s="3">
        <f t="shared" si="52"/>
        <v>0.9992037698424092</v>
      </c>
      <c r="AG75" s="3">
        <f aca="true" t="shared" si="53" ref="AG75:AP75">IF(AG71&gt;3.5,1,IF(AG71&gt;=0,ERF(AG71),IF(AG71&gt;-3.5,-ERF(ABS(AG71)),-1)))</f>
        <v>0.999593047982555</v>
      </c>
      <c r="AH75" s="3">
        <f t="shared" si="53"/>
        <v>0.9875806693484477</v>
      </c>
      <c r="AI75" s="3">
        <f t="shared" si="53"/>
        <v>0.9587731666628363</v>
      </c>
      <c r="AJ75" s="3">
        <f t="shared" si="53"/>
        <v>0.9229001282564582</v>
      </c>
      <c r="AK75" s="3">
        <f t="shared" si="53"/>
        <v>0.886153701993342</v>
      </c>
      <c r="AL75" s="3">
        <f t="shared" si="53"/>
        <v>0.8510853268212343</v>
      </c>
      <c r="AM75" s="3">
        <f t="shared" si="53"/>
        <v>0.8185507922785796</v>
      </c>
      <c r="AN75" s="3">
        <f t="shared" si="53"/>
        <v>0.7887004526662895</v>
      </c>
      <c r="AO75" s="3">
        <f t="shared" si="53"/>
        <v>0.7614071706835646</v>
      </c>
      <c r="AP75" s="3">
        <f t="shared" si="53"/>
        <v>0.7364475227170273</v>
      </c>
    </row>
    <row r="76" spans="1:42" ht="12.75" hidden="1">
      <c r="A76" s="3"/>
      <c r="B76" s="3"/>
      <c r="C76" s="3"/>
      <c r="D76" s="3"/>
      <c r="E76" s="3"/>
      <c r="F76" s="3">
        <f aca="true" t="shared" si="54" ref="F76:P76">IF(F72&gt;3.5,1,IF(F72&gt;=0,ERF(F72),IF(F72&gt;-3.5,-ERF(ABS(F72)),-1)))</f>
        <v>0.7364475227170273</v>
      </c>
      <c r="G76" s="3">
        <f t="shared" si="54"/>
        <v>1</v>
      </c>
      <c r="H76" s="3">
        <f t="shared" si="54"/>
        <v>1</v>
      </c>
      <c r="I76" s="3">
        <f t="shared" si="54"/>
        <v>1</v>
      </c>
      <c r="J76" s="3">
        <f t="shared" si="54"/>
        <v>1</v>
      </c>
      <c r="K76" s="3">
        <f t="shared" si="54"/>
        <v>0.999997898564044</v>
      </c>
      <c r="L76" s="3">
        <f t="shared" si="54"/>
        <v>0.9999850976642076</v>
      </c>
      <c r="M76" s="3">
        <f t="shared" si="54"/>
        <v>0.9999390025711035</v>
      </c>
      <c r="N76" s="3">
        <f t="shared" si="54"/>
        <v>0.9998231654295984</v>
      </c>
      <c r="O76" s="3">
        <f t="shared" si="54"/>
        <v>0.999593047982555</v>
      </c>
      <c r="P76" s="3">
        <f t="shared" si="54"/>
        <v>0.9992037698424092</v>
      </c>
      <c r="R76" s="3"/>
      <c r="S76" s="3"/>
      <c r="T76" s="3"/>
      <c r="U76" s="3"/>
      <c r="V76" s="3">
        <f aca="true" t="shared" si="55" ref="V76:AE76">IF(V72&gt;3.5,1,IF(V72&gt;=0,ERF(V72),IF(V72&gt;-3.5,-ERF(ABS(V72)),-1)))</f>
        <v>0.999593047982555</v>
      </c>
      <c r="W76" s="3">
        <f t="shared" si="55"/>
        <v>0.9875806693484477</v>
      </c>
      <c r="X76" s="3">
        <f t="shared" si="55"/>
        <v>0.9587731666628363</v>
      </c>
      <c r="Y76" s="3">
        <f t="shared" si="55"/>
        <v>0.9229001282564582</v>
      </c>
      <c r="Z76" s="3">
        <f t="shared" si="55"/>
        <v>0.886153701993342</v>
      </c>
      <c r="AA76" s="3">
        <f t="shared" si="55"/>
        <v>0.8510853268212343</v>
      </c>
      <c r="AB76" s="3">
        <f t="shared" si="55"/>
        <v>0.8185507922785796</v>
      </c>
      <c r="AC76" s="3">
        <f t="shared" si="55"/>
        <v>0.7887004526662895</v>
      </c>
      <c r="AD76" s="3">
        <f t="shared" si="55"/>
        <v>0.7614071706835646</v>
      </c>
      <c r="AE76" s="3">
        <f t="shared" si="55"/>
        <v>0.7364475227170273</v>
      </c>
      <c r="AG76" s="3">
        <f aca="true" t="shared" si="56" ref="AG76:AP76">IF(AG72&gt;3.5,1,IF(AG72&gt;=0,ERF(AG72),IF(AG72&gt;-3.5,-ERF(ABS(AG72)),-1)))</f>
        <v>-0.999593047982555</v>
      </c>
      <c r="AH76" s="3">
        <f t="shared" si="56"/>
        <v>-0.9875806693484477</v>
      </c>
      <c r="AI76" s="3">
        <f t="shared" si="56"/>
        <v>-0.9587731666628363</v>
      </c>
      <c r="AJ76" s="3">
        <f t="shared" si="56"/>
        <v>-0.9229001282564582</v>
      </c>
      <c r="AK76" s="3">
        <f t="shared" si="56"/>
        <v>-0.886153701993342</v>
      </c>
      <c r="AL76" s="3">
        <f t="shared" si="56"/>
        <v>-0.8510853268212343</v>
      </c>
      <c r="AM76" s="3">
        <f t="shared" si="56"/>
        <v>-0.8185507922785796</v>
      </c>
      <c r="AN76" s="3">
        <f t="shared" si="56"/>
        <v>-0.7887004526662895</v>
      </c>
      <c r="AO76" s="3">
        <f t="shared" si="56"/>
        <v>-0.7614071706835646</v>
      </c>
      <c r="AP76" s="3">
        <f t="shared" si="56"/>
        <v>-0.7364475227170273</v>
      </c>
    </row>
    <row r="77" spans="1:42" ht="12.75" hidden="1">
      <c r="A77" s="3"/>
      <c r="B77" s="3"/>
      <c r="C77" s="3"/>
      <c r="D77" s="3"/>
      <c r="E77" s="3"/>
      <c r="F77" s="3">
        <f aca="true" t="shared" si="57" ref="F77:P77">IF(F73&gt;3.5,1,IF(F73&gt;=0,ERF(F73),IF(F73&gt;-3.5,-ERF(ABS(F73)),-1)))</f>
        <v>1</v>
      </c>
      <c r="G77" s="3">
        <f t="shared" si="57"/>
        <v>1</v>
      </c>
      <c r="H77" s="3">
        <f t="shared" si="57"/>
        <v>1</v>
      </c>
      <c r="I77" s="3">
        <f t="shared" si="57"/>
        <v>1</v>
      </c>
      <c r="J77" s="3">
        <f t="shared" si="57"/>
        <v>1</v>
      </c>
      <c r="K77" s="3">
        <f t="shared" si="57"/>
        <v>1</v>
      </c>
      <c r="L77" s="3">
        <f t="shared" si="57"/>
        <v>1</v>
      </c>
      <c r="M77" s="3">
        <f t="shared" si="57"/>
        <v>1</v>
      </c>
      <c r="N77" s="3">
        <f t="shared" si="57"/>
        <v>1</v>
      </c>
      <c r="O77" s="3">
        <f t="shared" si="57"/>
        <v>1</v>
      </c>
      <c r="P77" s="3">
        <f t="shared" si="57"/>
        <v>1</v>
      </c>
      <c r="R77" s="3"/>
      <c r="S77" s="3"/>
      <c r="T77" s="3"/>
      <c r="U77" s="3"/>
      <c r="V77" s="3">
        <f aca="true" t="shared" si="58" ref="V77:AE77">IF(V73&gt;3.5,1,IF(V73&gt;=0,ERF(V73),IF(V73&gt;-3.5,-ERF(ABS(V73)),-1)))</f>
        <v>1</v>
      </c>
      <c r="W77" s="3">
        <f t="shared" si="58"/>
        <v>1</v>
      </c>
      <c r="X77" s="3">
        <f t="shared" si="58"/>
        <v>1</v>
      </c>
      <c r="Y77" s="3">
        <f t="shared" si="58"/>
        <v>1</v>
      </c>
      <c r="Z77" s="3">
        <f t="shared" si="58"/>
        <v>1</v>
      </c>
      <c r="AA77" s="3">
        <f t="shared" si="58"/>
        <v>1</v>
      </c>
      <c r="AB77" s="3">
        <f t="shared" si="58"/>
        <v>1</v>
      </c>
      <c r="AC77" s="3">
        <f t="shared" si="58"/>
        <v>1</v>
      </c>
      <c r="AD77" s="3">
        <f t="shared" si="58"/>
        <v>1</v>
      </c>
      <c r="AE77" s="3">
        <f t="shared" si="58"/>
        <v>1</v>
      </c>
      <c r="AG77" s="3">
        <f aca="true" t="shared" si="59" ref="AG77:AP77">IF(AG73&gt;3.5,1,IF(AG73&gt;=0,ERF(AG73),IF(AG73&gt;-3.5,-ERF(ABS(AG73)),-1)))</f>
        <v>1</v>
      </c>
      <c r="AH77" s="3">
        <f t="shared" si="59"/>
        <v>1</v>
      </c>
      <c r="AI77" s="3">
        <f t="shared" si="59"/>
        <v>1</v>
      </c>
      <c r="AJ77" s="3">
        <f t="shared" si="59"/>
        <v>1</v>
      </c>
      <c r="AK77" s="3">
        <f t="shared" si="59"/>
        <v>1</v>
      </c>
      <c r="AL77" s="3">
        <f t="shared" si="59"/>
        <v>1</v>
      </c>
      <c r="AM77" s="3">
        <f t="shared" si="59"/>
        <v>1</v>
      </c>
      <c r="AN77" s="3">
        <f t="shared" si="59"/>
        <v>1</v>
      </c>
      <c r="AO77" s="3">
        <f t="shared" si="59"/>
        <v>1</v>
      </c>
      <c r="AP77" s="3">
        <f t="shared" si="59"/>
        <v>1</v>
      </c>
    </row>
    <row r="78" spans="1:42" ht="12.75" hidden="1">
      <c r="A78" s="3"/>
      <c r="B78" s="3"/>
      <c r="C78" s="3"/>
      <c r="D78" s="3"/>
      <c r="E78" s="3"/>
      <c r="F78" s="3">
        <f aca="true" t="shared" si="60" ref="F78:P78">IF(F74&gt;3.5,1,IF(F74&gt;=0,ERF(F74),IF(F74&gt;-3.5,-ERF(ABS(F74)),-1)))</f>
        <v>-1</v>
      </c>
      <c r="G78" s="3">
        <f t="shared" si="60"/>
        <v>-1</v>
      </c>
      <c r="H78" s="3">
        <f t="shared" si="60"/>
        <v>-1</v>
      </c>
      <c r="I78" s="3">
        <f t="shared" si="60"/>
        <v>-1</v>
      </c>
      <c r="J78" s="3">
        <f t="shared" si="60"/>
        <v>-1</v>
      </c>
      <c r="K78" s="3">
        <f t="shared" si="60"/>
        <v>-1</v>
      </c>
      <c r="L78" s="3">
        <f t="shared" si="60"/>
        <v>-1</v>
      </c>
      <c r="M78" s="3">
        <f t="shared" si="60"/>
        <v>-1</v>
      </c>
      <c r="N78" s="3">
        <f t="shared" si="60"/>
        <v>-1</v>
      </c>
      <c r="O78" s="3">
        <f t="shared" si="60"/>
        <v>-1</v>
      </c>
      <c r="P78" s="3">
        <f t="shared" si="60"/>
        <v>-1</v>
      </c>
      <c r="R78" s="3"/>
      <c r="S78" s="3"/>
      <c r="T78" s="3"/>
      <c r="U78" s="3"/>
      <c r="V78" s="3">
        <f aca="true" t="shared" si="61" ref="V78:AE78">IF(V74&gt;3.5,1,IF(V74&gt;=0,ERF(V74),IF(V74&gt;-3.5,-ERF(ABS(V74)),-1)))</f>
        <v>-1</v>
      </c>
      <c r="W78" s="3">
        <f t="shared" si="61"/>
        <v>-1</v>
      </c>
      <c r="X78" s="3">
        <f t="shared" si="61"/>
        <v>-1</v>
      </c>
      <c r="Y78" s="3">
        <f t="shared" si="61"/>
        <v>-1</v>
      </c>
      <c r="Z78" s="3">
        <f t="shared" si="61"/>
        <v>-1</v>
      </c>
      <c r="AA78" s="3">
        <f t="shared" si="61"/>
        <v>-1</v>
      </c>
      <c r="AB78" s="3">
        <f t="shared" si="61"/>
        <v>-1</v>
      </c>
      <c r="AC78" s="3">
        <f t="shared" si="61"/>
        <v>-1</v>
      </c>
      <c r="AD78" s="3">
        <f t="shared" si="61"/>
        <v>-1</v>
      </c>
      <c r="AE78" s="3">
        <f t="shared" si="61"/>
        <v>-1</v>
      </c>
      <c r="AG78" s="3">
        <f aca="true" t="shared" si="62" ref="AG78:AP78">IF(AG74&gt;3.5,1,IF(AG74&gt;=0,ERF(AG74),IF(AG74&gt;-3.5,-ERF(ABS(AG74)),-1)))</f>
        <v>-1</v>
      </c>
      <c r="AH78" s="3">
        <f t="shared" si="62"/>
        <v>-1</v>
      </c>
      <c r="AI78" s="3">
        <f t="shared" si="62"/>
        <v>-1</v>
      </c>
      <c r="AJ78" s="3">
        <f t="shared" si="62"/>
        <v>-1</v>
      </c>
      <c r="AK78" s="3">
        <f t="shared" si="62"/>
        <v>-1</v>
      </c>
      <c r="AL78" s="3">
        <f t="shared" si="62"/>
        <v>-1</v>
      </c>
      <c r="AM78" s="3">
        <f t="shared" si="62"/>
        <v>-1</v>
      </c>
      <c r="AN78" s="3">
        <f t="shared" si="62"/>
        <v>-1</v>
      </c>
      <c r="AO78" s="3">
        <f t="shared" si="62"/>
        <v>-1</v>
      </c>
      <c r="AP78" s="3">
        <f t="shared" si="62"/>
        <v>-1</v>
      </c>
    </row>
    <row r="79" spans="7:23" ht="12.75" hidden="1">
      <c r="G79" s="3"/>
      <c r="R79" s="3"/>
      <c r="S79" s="3"/>
      <c r="T79" s="3"/>
      <c r="W79" s="3"/>
    </row>
    <row r="80" spans="7:23" ht="12.75" hidden="1">
      <c r="G80" s="14"/>
      <c r="R80" s="3"/>
      <c r="S80" s="3"/>
      <c r="T80" s="3"/>
      <c r="W80" s="3"/>
    </row>
  </sheetData>
  <sheetProtection password="E711" sheet="1" objects="1" scenarios="1"/>
  <mergeCells count="2">
    <mergeCell ref="D24:D25"/>
    <mergeCell ref="A16:B17"/>
  </mergeCells>
  <printOptions gridLines="1" horizontalCentered="1" verticalCentered="1"/>
  <pageMargins left="0.75" right="0.75" top="1" bottom="1" header="0.5" footer="0.5"/>
  <pageSetup horizontalDpi="300" verticalDpi="300" orientation="landscape" r:id="rId4"/>
  <headerFooter alignWithMargins="0">
    <oddHeader>&amp;C&amp;A</oddHeader>
    <oddFooter>&amp;CPage &amp;P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Quick Domenico</dc:title>
  <dc:subject/>
  <dc:creator>John Stephenson, P.G.</dc:creator>
  <cp:keywords/>
  <dc:description>Quick Domenico has been modified to include linear and log charts model and field derived centerline data to assist in model calibration.
Other minor formatting changes have also been made.</dc:description>
  <cp:lastModifiedBy>Windows User</cp:lastModifiedBy>
  <cp:lastPrinted>2003-03-13T00:57:36Z</cp:lastPrinted>
  <dcterms:created xsi:type="dcterms:W3CDTF">1997-11-03T18:06:40Z</dcterms:created>
  <dcterms:modified xsi:type="dcterms:W3CDTF">2019-08-06T14:42:57Z</dcterms:modified>
  <cp:category/>
  <cp:version/>
  <cp:contentType/>
  <cp:contentStatus/>
</cp:coreProperties>
</file>