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5" yWindow="122" windowWidth="9372" windowHeight="5736" activeTab="0"/>
  </bookViews>
  <sheets>
    <sheet name="SWLOAD5B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RITERIA">'SWLOAD5B'!#REF!</definedName>
    <definedName name="_xlnm.Print_Area" localSheetId="0">'SWLOAD5B'!$A$1:$O$33</definedName>
    <definedName name="solver_adj" localSheetId="0" hidden="1">'SWLOAD5B'!$C$22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'SWLOAD5B'!$C$22</definedName>
    <definedName name="solver_lhs2" localSheetId="0" hidden="1">'SWLOAD5B'!$C$22</definedName>
    <definedName name="solver_lhs3" localSheetId="0" hidden="1">'SWLOAD5B'!$C$22</definedName>
    <definedName name="solver_lhs4" localSheetId="0" hidden="1">'SWLOAD5B'!$C$22</definedName>
    <definedName name="solver_lhs5" localSheetId="0" hidden="1">'SWLOAD5B'!$C$23</definedName>
    <definedName name="solver_lin" localSheetId="0" hidden="1">1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'SWLOAD5B'!$H$33</definedName>
    <definedName name="solver_pre" localSheetId="0" hidden="1">0.1</definedName>
    <definedName name="solver_rel1" localSheetId="0" hidden="1">4</definedName>
    <definedName name="solver_rel2" localSheetId="0" hidden="1">3</definedName>
    <definedName name="solver_rel3" localSheetId="0" hidden="1">4</definedName>
    <definedName name="solver_rel4" localSheetId="0" hidden="1">4</definedName>
    <definedName name="solver_rel5" localSheetId="0" hidden="1">4</definedName>
    <definedName name="solver_rhs1" localSheetId="0" hidden="1">Integer</definedName>
    <definedName name="solver_rhs2" localSheetId="0" hidden="1">2</definedName>
    <definedName name="solver_rhs3" localSheetId="0" hidden="1">Integer</definedName>
    <definedName name="solver_rhs4" localSheetId="0" hidden="1">Integer</definedName>
    <definedName name="solver_rhs5" localSheetId="0" hidden="1">Integer</definedName>
    <definedName name="solver_scl" localSheetId="0" hidden="1">2</definedName>
    <definedName name="solver_sho" localSheetId="0" hidden="1">2</definedName>
    <definedName name="solver_tim" localSheetId="0" hidden="1">1000</definedName>
    <definedName name="solver_tmp" localSheetId="0" hidden="1">0.01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Dept. of Environmental Protction</author>
  </authors>
  <commentList>
    <comment ref="C17" authorId="0">
      <text>
        <r>
          <rPr>
            <sz val="8"/>
            <rFont val="Tahoma"/>
            <family val="0"/>
          </rPr>
          <t xml:space="preserve">1.  For those compounds on Table IV-1 of the TGM which have established surface water criteria, set C17 equal to the non-residential groundwater Act 2 MSC for used aquifers &lt;2500 TDS.
2.  For compounds on Table IV –2 of the TGM, set C17 equal to the SW-846 PQL.
3.  For compounds on Table IV-3, if the Act 2 SW-846 PQL is below both the Act 2 MSC and the lowest surface water compliance value (LSWC), set the edge criterion (C17) at the LSWC.  If both the LSWC and the Act 2 MSC are below the SW-846 PQL, set C17 equal to 3.18 times the lowest Chapter 16 method detection limit or the lowest surface water criterion, whichever is higher. 
</t>
        </r>
        <r>
          <rPr>
            <b/>
            <sz val="8"/>
            <rFont val="Tahoma"/>
            <family val="2"/>
          </rPr>
          <t>ENTER NUMBER IN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SAME UNITS AS SOURCE TERM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<sst xmlns="http://schemas.openxmlformats.org/spreadsheetml/2006/main" count="305" uniqueCount="97">
  <si>
    <t>Project:</t>
  </si>
  <si>
    <t>Date:</t>
  </si>
  <si>
    <t>Contaminant:</t>
  </si>
  <si>
    <t>Prepared by:</t>
  </si>
  <si>
    <t>SOURCE</t>
  </si>
  <si>
    <t>Ax</t>
  </si>
  <si>
    <t>Ay</t>
  </si>
  <si>
    <t>Az</t>
  </si>
  <si>
    <t>LAMBDA</t>
  </si>
  <si>
    <t xml:space="preserve">SOURCE </t>
  </si>
  <si>
    <t>CONC</t>
  </si>
  <si>
    <t>(ft)</t>
  </si>
  <si>
    <t>WIDTH</t>
  </si>
  <si>
    <t>THICKNESS</t>
  </si>
  <si>
    <t>Time</t>
  </si>
  <si>
    <t>&gt;.0001</t>
  </si>
  <si>
    <t>&gt;=.0001</t>
  </si>
  <si>
    <t>day-1</t>
  </si>
  <si>
    <t>(days)</t>
  </si>
  <si>
    <t xml:space="preserve"> </t>
  </si>
  <si>
    <t>Hydraulic</t>
  </si>
  <si>
    <t>Soil Bulk</t>
  </si>
  <si>
    <t>Frac.</t>
  </si>
  <si>
    <t>Retard-</t>
  </si>
  <si>
    <t>V</t>
  </si>
  <si>
    <t>Cond</t>
  </si>
  <si>
    <t>Gradient</t>
  </si>
  <si>
    <t>Porosity</t>
  </si>
  <si>
    <t>Density</t>
  </si>
  <si>
    <t xml:space="preserve">  KOC</t>
  </si>
  <si>
    <t>Org. Carb.</t>
  </si>
  <si>
    <t>ation</t>
  </si>
  <si>
    <t>(=K*i/n*R)</t>
  </si>
  <si>
    <t>(ft/day)</t>
  </si>
  <si>
    <t>(ft/ft)</t>
  </si>
  <si>
    <t>(dec. frac.)</t>
  </si>
  <si>
    <r>
      <t>(g/cm</t>
    </r>
    <r>
      <rPr>
        <b/>
        <vertAlign val="superscript"/>
        <sz val="8"/>
        <rFont val="Arial"/>
        <family val="2"/>
      </rPr>
      <t>3)</t>
    </r>
  </si>
  <si>
    <t xml:space="preserve">      (R)</t>
  </si>
  <si>
    <t>SURFACE WATER LOADING GRID</t>
  </si>
  <si>
    <t>Distance to Stream (ft)</t>
  </si>
  <si>
    <t>Plume View Width (ft)</t>
  </si>
  <si>
    <t>Plume View Depth (ft)</t>
  </si>
  <si>
    <t>Mass Loading to Stream</t>
  </si>
  <si>
    <t xml:space="preserve">Surface  Water x-section </t>
  </si>
  <si>
    <t>row 17</t>
  </si>
  <si>
    <t>x/(2*Ax)</t>
  </si>
  <si>
    <t>1-sqrt(1+(4*lamb)*Ax/V)</t>
  </si>
  <si>
    <t>exp((x/(2*Ax))*(1-sqrt(1+((4*lamb)*Ax)/U))):</t>
  </si>
  <si>
    <t>:</t>
  </si>
  <si>
    <t>VT</t>
  </si>
  <si>
    <t>SQRT(1+(4*LAMB*Ax/V)</t>
  </si>
  <si>
    <t>X-VT(sqrt(1+4*lamb*Ax/v))</t>
  </si>
  <si>
    <t>2sqrt(Ax*v*t)</t>
  </si>
  <si>
    <t>(X-VT)SQRT(1+4LAMBAx)/2SQRTAxVT)</t>
  </si>
  <si>
    <t>erfc(x-vt)sqrt(1+(4lamb)(Ax)/(2*sqrtAx*vt)</t>
  </si>
  <si>
    <t>2*sqrtAyx</t>
  </si>
  <si>
    <t>2*sqrtAzx</t>
  </si>
  <si>
    <t>(y+Y/2)/2sqrt(ayx)</t>
  </si>
  <si>
    <t>(y-Y/2)/2sqrt(ayx)</t>
  </si>
  <si>
    <t>(z+Z)/2*SQRT(Azx)-note Z,not Z/2</t>
  </si>
  <si>
    <t>(z-Z)/2*SQRT(Azx)-note Z,not Z/2</t>
  </si>
  <si>
    <t>erf(y+Y/2)/2sqrt(ayx)</t>
  </si>
  <si>
    <t>erf(y-Y/2)/2sqrt(ayx)</t>
  </si>
  <si>
    <t>erf(G73)</t>
  </si>
  <si>
    <t>erf(G74)</t>
  </si>
  <si>
    <t>Surface Water Row 18</t>
  </si>
  <si>
    <t>CALC FOR</t>
  </si>
  <si>
    <t>Calc For</t>
  </si>
  <si>
    <t>Row 19</t>
  </si>
  <si>
    <t xml:space="preserve"> Row 20</t>
  </si>
  <si>
    <t>SW ROW 21</t>
  </si>
  <si>
    <t>SW ROW 22</t>
  </si>
  <si>
    <t>SW ROW 23</t>
  </si>
  <si>
    <t>SW ROW 24</t>
  </si>
  <si>
    <t>SW ROW 25</t>
  </si>
  <si>
    <t>row 26</t>
  </si>
  <si>
    <t>row 27</t>
  </si>
  <si>
    <t>Flow/cell</t>
  </si>
  <si>
    <t># cells</t>
  </si>
  <si>
    <t xml:space="preserve">SUM </t>
  </si>
  <si>
    <t>.</t>
  </si>
  <si>
    <t>Total FlowxTot Concen.</t>
  </si>
  <si>
    <t>cfs</t>
  </si>
  <si>
    <t>Plume Flow</t>
  </si>
  <si>
    <t>l^day</t>
  </si>
  <si>
    <t>METHOD FOR ESTIMATNG FLOW, AVERAGE CONCENTRATION AND MASS LOADING TO SURFACE WATER FROM GROUNDWATER</t>
  </si>
  <si>
    <t>Ave gw Conc</t>
  </si>
  <si>
    <t>#cells &gt;.0009</t>
  </si>
  <si>
    <t>sum conc of cells &gt;.0009</t>
  </si>
  <si>
    <t>Average Groundwater Concentration</t>
  </si>
  <si>
    <t>(units)</t>
  </si>
  <si>
    <t>Higest modeled conc.</t>
  </si>
  <si>
    <t>Benzene</t>
  </si>
  <si>
    <t>MGD</t>
  </si>
  <si>
    <t>mg/l</t>
  </si>
  <si>
    <t>TGM Example 2</t>
  </si>
  <si>
    <t>BECB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</si>
</sst>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E+00"/>
    <numFmt numFmtId="167" formatCode="0.00000000"/>
    <numFmt numFmtId="168" formatCode="0.000000"/>
    <numFmt numFmtId="169" formatCode="0.00000"/>
    <numFmt numFmtId="170" formatCode="0.000;[Red]0.000"/>
    <numFmt numFmtId="171" formatCode="0.0000000;[Red]0.0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3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11" fontId="4" fillId="34" borderId="0" xfId="0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14" fontId="4" fillId="34" borderId="13" xfId="0" applyNumberFormat="1" applyFont="1" applyFill="1" applyBorder="1" applyAlignment="1" applyProtection="1">
      <alignment/>
      <protection locked="0"/>
    </xf>
    <xf numFmtId="11" fontId="4" fillId="34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4" fillId="0" borderId="14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hidden="1"/>
    </xf>
    <xf numFmtId="0" fontId="0" fillId="33" borderId="12" xfId="0" applyFill="1" applyBorder="1" applyAlignment="1">
      <alignment/>
    </xf>
    <xf numFmtId="165" fontId="0" fillId="0" borderId="0" xfId="0" applyNumberFormat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11" fontId="4" fillId="33" borderId="13" xfId="0" applyNumberFormat="1" applyFont="1" applyFill="1" applyBorder="1" applyAlignment="1" applyProtection="1">
      <alignment/>
      <protection/>
    </xf>
    <xf numFmtId="11" fontId="4" fillId="34" borderId="13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9" fontId="0" fillId="33" borderId="12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34" borderId="13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1" fillId="34" borderId="0" xfId="0" applyFont="1" applyFill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17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13" fillId="33" borderId="12" xfId="0" applyFont="1" applyFill="1" applyBorder="1" applyAlignment="1">
      <alignment/>
    </xf>
    <xf numFmtId="0" fontId="8" fillId="37" borderId="12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>
      <alignment/>
    </xf>
    <xf numFmtId="2" fontId="12" fillId="33" borderId="12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104775</xdr:rowOff>
    </xdr:from>
    <xdr:to>
      <xdr:col>14</xdr:col>
      <xdr:colOff>66675</xdr:colOff>
      <xdr:row>13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62625" y="238125"/>
          <a:ext cx="205740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 DEPARTMENT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ENVIRONMENTAL PROTECTION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SWLOAD5B.XLS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METHOD FOR  ESTIMATING COMTAMINANT LOADING TO SURFACE WATER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P.A. Domenico (1987)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Modified to Include Retardation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96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1.57421875" style="0" customWidth="1"/>
    <col min="3" max="3" width="8.57421875" style="0" customWidth="1"/>
    <col min="4" max="4" width="7.00390625" style="0" customWidth="1"/>
    <col min="5" max="5" width="7.57421875" style="0" customWidth="1"/>
    <col min="6" max="6" width="8.00390625" style="0" customWidth="1"/>
    <col min="7" max="7" width="7.57421875" style="0" customWidth="1"/>
    <col min="8" max="8" width="8.28125" style="0" customWidth="1"/>
    <col min="9" max="9" width="8.57421875" style="0" customWidth="1"/>
    <col min="10" max="10" width="8.421875" style="0" customWidth="1"/>
    <col min="11" max="11" width="8.140625" style="0" customWidth="1"/>
    <col min="12" max="12" width="8.00390625" style="0" customWidth="1"/>
    <col min="13" max="13" width="7.8515625" style="0" customWidth="1"/>
    <col min="14" max="14" width="7.57421875" style="0" customWidth="1"/>
    <col min="15" max="15" width="7.140625" style="0" customWidth="1"/>
    <col min="18" max="18" width="24.7109375" style="0" customWidth="1"/>
    <col min="20" max="20" width="14.00390625" style="0" customWidth="1"/>
    <col min="22" max="22" width="12.7109375" style="0" customWidth="1"/>
  </cols>
  <sheetData>
    <row r="1" spans="1:16" ht="10.5" customHeight="1">
      <c r="A1" s="12" t="s">
        <v>85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1"/>
    </row>
    <row r="2" spans="1:16" ht="10.5" customHeight="1">
      <c r="A2" s="15" t="s">
        <v>0</v>
      </c>
      <c r="B2" s="7" t="s">
        <v>95</v>
      </c>
      <c r="C2" s="8"/>
      <c r="D2" s="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1"/>
    </row>
    <row r="3" spans="1:16" ht="10.5" customHeight="1">
      <c r="A3" s="15" t="s">
        <v>1</v>
      </c>
      <c r="B3" s="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1"/>
    </row>
    <row r="4" spans="1:16" ht="10.5" customHeight="1">
      <c r="A4" s="40" t="s">
        <v>2</v>
      </c>
      <c r="B4" s="42" t="s">
        <v>92</v>
      </c>
      <c r="C4" s="3"/>
      <c r="D4" s="4"/>
      <c r="E4" s="40" t="s">
        <v>3</v>
      </c>
      <c r="F4" s="14"/>
      <c r="G4" s="42" t="s">
        <v>96</v>
      </c>
      <c r="H4" s="3"/>
      <c r="I4" s="8"/>
      <c r="J4" s="4"/>
      <c r="K4" s="14"/>
      <c r="L4" s="14"/>
      <c r="M4" s="14"/>
      <c r="N4" s="14"/>
      <c r="O4" s="14"/>
      <c r="P4" s="11"/>
    </row>
    <row r="5" spans="1:16" ht="10.5" customHeight="1">
      <c r="A5" s="27" t="s">
        <v>4</v>
      </c>
      <c r="B5" s="14"/>
      <c r="C5" s="14"/>
      <c r="D5" s="14"/>
      <c r="E5" s="14"/>
      <c r="F5" s="14"/>
      <c r="G5" s="14"/>
      <c r="H5" s="14"/>
      <c r="I5" s="16"/>
      <c r="J5" s="14"/>
      <c r="K5" s="14"/>
      <c r="L5" s="14"/>
      <c r="M5" s="14"/>
      <c r="N5" s="14"/>
      <c r="O5" s="14"/>
      <c r="P5" s="11"/>
    </row>
    <row r="6" spans="1:16" ht="10.5" customHeight="1">
      <c r="A6" s="29" t="s">
        <v>10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4</v>
      </c>
      <c r="G6" s="27" t="s">
        <v>9</v>
      </c>
      <c r="H6" s="28"/>
      <c r="I6" s="16"/>
      <c r="J6" s="15"/>
      <c r="K6" s="16"/>
      <c r="L6" s="16"/>
      <c r="M6" s="16"/>
      <c r="N6" s="16"/>
      <c r="O6" s="16"/>
      <c r="P6" s="11"/>
    </row>
    <row r="7" spans="1:16" ht="10.5" customHeight="1">
      <c r="A7" s="54" t="s">
        <v>90</v>
      </c>
      <c r="B7" s="29" t="s">
        <v>11</v>
      </c>
      <c r="C7" s="29" t="s">
        <v>11</v>
      </c>
      <c r="D7" s="29" t="s">
        <v>11</v>
      </c>
      <c r="E7" s="29"/>
      <c r="F7" s="29" t="s">
        <v>12</v>
      </c>
      <c r="G7" s="29" t="s">
        <v>13</v>
      </c>
      <c r="H7" s="30" t="s">
        <v>14</v>
      </c>
      <c r="I7" s="16"/>
      <c r="J7" s="15"/>
      <c r="K7" s="16"/>
      <c r="L7" s="16"/>
      <c r="M7" s="16"/>
      <c r="N7" s="16"/>
      <c r="O7" s="16"/>
      <c r="P7" s="11"/>
    </row>
    <row r="8" spans="1:16" ht="10.5" customHeight="1">
      <c r="A8" s="58" t="s">
        <v>94</v>
      </c>
      <c r="B8" s="31" t="s">
        <v>15</v>
      </c>
      <c r="C8" s="31" t="s">
        <v>15</v>
      </c>
      <c r="D8" s="31" t="s">
        <v>16</v>
      </c>
      <c r="E8" s="31" t="s">
        <v>17</v>
      </c>
      <c r="F8" s="31" t="s">
        <v>11</v>
      </c>
      <c r="G8" s="31" t="s">
        <v>11</v>
      </c>
      <c r="H8" s="31" t="s">
        <v>18</v>
      </c>
      <c r="I8" s="16"/>
      <c r="J8" s="17"/>
      <c r="K8" s="16"/>
      <c r="L8" s="16"/>
      <c r="M8" s="16"/>
      <c r="N8" s="16"/>
      <c r="O8" s="16"/>
      <c r="P8" s="11"/>
    </row>
    <row r="9" spans="1:16" ht="10.5" customHeight="1">
      <c r="A9" s="47">
        <v>12</v>
      </c>
      <c r="B9" s="48">
        <v>20</v>
      </c>
      <c r="C9" s="48">
        <v>1</v>
      </c>
      <c r="D9" s="50">
        <v>0.0001</v>
      </c>
      <c r="E9" s="48">
        <v>0.0008</v>
      </c>
      <c r="F9" s="48">
        <v>100</v>
      </c>
      <c r="G9" s="48">
        <v>10</v>
      </c>
      <c r="H9" s="49">
        <v>1E+99</v>
      </c>
      <c r="I9" s="16"/>
      <c r="J9" s="15"/>
      <c r="K9" s="16"/>
      <c r="L9" s="16"/>
      <c r="M9" s="16"/>
      <c r="N9" s="16"/>
      <c r="O9" s="16"/>
      <c r="P9" s="11"/>
    </row>
    <row r="10" spans="1:16" ht="10.5" customHeight="1">
      <c r="A10" s="14"/>
      <c r="B10" s="14" t="s">
        <v>19</v>
      </c>
      <c r="C10" s="14"/>
      <c r="D10" s="14"/>
      <c r="E10" s="14"/>
      <c r="F10" s="14"/>
      <c r="G10" s="14"/>
      <c r="H10" s="14"/>
      <c r="I10" s="16"/>
      <c r="J10" s="14"/>
      <c r="K10" s="14"/>
      <c r="L10" s="14"/>
      <c r="M10" s="14"/>
      <c r="N10" s="14"/>
      <c r="O10" s="14"/>
      <c r="P10" s="11"/>
    </row>
    <row r="11" spans="1:16" ht="10.5" customHeight="1">
      <c r="A11" s="27" t="s">
        <v>20</v>
      </c>
      <c r="B11" s="27" t="s">
        <v>20</v>
      </c>
      <c r="C11" s="32"/>
      <c r="D11" s="33" t="s">
        <v>21</v>
      </c>
      <c r="E11" s="25"/>
      <c r="F11" s="25" t="s">
        <v>22</v>
      </c>
      <c r="G11" s="25" t="s">
        <v>23</v>
      </c>
      <c r="H11" s="27" t="s">
        <v>24</v>
      </c>
      <c r="I11" s="16"/>
      <c r="J11" s="14"/>
      <c r="K11" s="14"/>
      <c r="L11" s="14"/>
      <c r="M11" s="14"/>
      <c r="N11" s="14"/>
      <c r="O11" s="14"/>
      <c r="P11" s="11"/>
    </row>
    <row r="12" spans="1:16" ht="10.5" customHeight="1">
      <c r="A12" s="29" t="s">
        <v>25</v>
      </c>
      <c r="B12" s="29" t="s">
        <v>26</v>
      </c>
      <c r="C12" s="29" t="s">
        <v>27</v>
      </c>
      <c r="D12" s="34" t="s">
        <v>28</v>
      </c>
      <c r="E12" s="26" t="s">
        <v>29</v>
      </c>
      <c r="F12" s="26" t="s">
        <v>30</v>
      </c>
      <c r="G12" s="26" t="s">
        <v>31</v>
      </c>
      <c r="H12" s="29" t="s">
        <v>32</v>
      </c>
      <c r="I12" s="14"/>
      <c r="J12" s="14"/>
      <c r="K12" s="14"/>
      <c r="L12" s="14"/>
      <c r="M12" s="14"/>
      <c r="N12" s="14"/>
      <c r="O12" s="14"/>
      <c r="P12" s="11"/>
    </row>
    <row r="13" spans="1:16" ht="10.5" customHeight="1">
      <c r="A13" s="31" t="s">
        <v>33</v>
      </c>
      <c r="B13" s="31" t="s">
        <v>34</v>
      </c>
      <c r="C13" s="31" t="s">
        <v>35</v>
      </c>
      <c r="D13" s="35" t="s">
        <v>36</v>
      </c>
      <c r="E13" s="36"/>
      <c r="F13" s="36"/>
      <c r="G13" s="37" t="s">
        <v>37</v>
      </c>
      <c r="H13" s="31" t="s">
        <v>33</v>
      </c>
      <c r="I13" s="14"/>
      <c r="J13" s="14"/>
      <c r="K13" s="14"/>
      <c r="L13" s="14"/>
      <c r="M13" s="14"/>
      <c r="N13" s="14"/>
      <c r="O13" s="14"/>
      <c r="P13" s="11"/>
    </row>
    <row r="14" spans="1:16" ht="10.5" customHeight="1">
      <c r="A14" s="5">
        <v>1.92</v>
      </c>
      <c r="B14" s="6">
        <v>0.01</v>
      </c>
      <c r="C14" s="6">
        <v>0.358</v>
      </c>
      <c r="D14" s="3">
        <v>1.7</v>
      </c>
      <c r="E14" s="3">
        <v>58</v>
      </c>
      <c r="F14" s="10">
        <v>0.001</v>
      </c>
      <c r="G14" s="19">
        <f>1+(E14*F14)*D14/C14</f>
        <v>1.2754189944134078</v>
      </c>
      <c r="H14" s="2">
        <f>((A14*B14)/(C14))/G14</f>
        <v>0.04204993429697766</v>
      </c>
      <c r="I14" s="14"/>
      <c r="J14" s="14"/>
      <c r="K14" s="14"/>
      <c r="L14" s="14"/>
      <c r="M14" s="14"/>
      <c r="N14" s="14"/>
      <c r="O14" s="14"/>
      <c r="P14" s="11"/>
    </row>
    <row r="15" spans="1:16" ht="10.5" customHeight="1">
      <c r="A15" s="18"/>
      <c r="B15" s="20"/>
      <c r="C15" s="20"/>
      <c r="D15" s="20"/>
      <c r="E15" s="15"/>
      <c r="F15" s="15"/>
      <c r="G15" s="15"/>
      <c r="H15" s="14"/>
      <c r="I15" s="14"/>
      <c r="J15" s="14"/>
      <c r="K15" s="14"/>
      <c r="L15" s="14"/>
      <c r="M15" s="14"/>
      <c r="N15" s="14"/>
      <c r="O15" s="14"/>
      <c r="P15" s="11"/>
    </row>
    <row r="16" spans="4:16" ht="10.5" customHeight="1">
      <c r="D16" s="15"/>
      <c r="E16" s="15">
        <f>-C22*0.5</f>
        <v>-93.875</v>
      </c>
      <c r="F16" s="15">
        <f>-$C$22*0.4</f>
        <v>-75.10000000000001</v>
      </c>
      <c r="G16" s="15">
        <f>-$C$22*0.3</f>
        <v>-56.324999999999996</v>
      </c>
      <c r="H16" s="15">
        <f>-$C$22*0.2</f>
        <v>-37.550000000000004</v>
      </c>
      <c r="I16" s="15">
        <f>-$C$22*0.1</f>
        <v>-18.775000000000002</v>
      </c>
      <c r="J16" s="15">
        <f>0</f>
        <v>0</v>
      </c>
      <c r="K16" s="15">
        <f>$C$22*0.1</f>
        <v>18.775000000000002</v>
      </c>
      <c r="L16" s="15">
        <f>$C$22*0.2</f>
        <v>37.550000000000004</v>
      </c>
      <c r="M16" s="15">
        <f>$C$22*0.3</f>
        <v>56.324999999999996</v>
      </c>
      <c r="N16" s="15">
        <f>$C$22*0.4</f>
        <v>75.10000000000001</v>
      </c>
      <c r="O16" s="15">
        <f>$C$22*0.5</f>
        <v>93.875</v>
      </c>
      <c r="P16" s="11"/>
    </row>
    <row r="17" spans="1:16" ht="10.5" customHeight="1">
      <c r="A17" s="1" t="str">
        <f>CONCATENATE("Edge Criterion"," ","(",A8,")")</f>
        <v>Edge Criterion (mg/l)</v>
      </c>
      <c r="C17" s="61">
        <v>0.005</v>
      </c>
      <c r="D17" s="15">
        <f>0</f>
        <v>0</v>
      </c>
      <c r="E17" s="66">
        <f aca="true" t="shared" si="0" ref="E17:O17">($A$9/8)*(F40*F46*(F53-F54)*(F55-F56))</f>
        <v>0.00264735668668254</v>
      </c>
      <c r="F17" s="67">
        <f t="shared" si="0"/>
        <v>0.10472094923056338</v>
      </c>
      <c r="G17" s="67">
        <f t="shared" si="0"/>
        <v>0.9030087520217993</v>
      </c>
      <c r="H17" s="67">
        <f t="shared" si="0"/>
        <v>2.236258685816343</v>
      </c>
      <c r="I17" s="67">
        <f t="shared" si="0"/>
        <v>2.720965283656173</v>
      </c>
      <c r="J17" s="67">
        <f t="shared" si="0"/>
        <v>2.757427303818039</v>
      </c>
      <c r="K17" s="67">
        <f t="shared" si="0"/>
        <v>2.720965283656173</v>
      </c>
      <c r="L17" s="67">
        <f t="shared" si="0"/>
        <v>2.236258685816343</v>
      </c>
      <c r="M17" s="67">
        <f t="shared" si="0"/>
        <v>0.9030087520217993</v>
      </c>
      <c r="N17" s="67">
        <f t="shared" si="0"/>
        <v>0.10472094923056338</v>
      </c>
      <c r="O17" s="67">
        <f t="shared" si="0"/>
        <v>0.00264735668668254</v>
      </c>
      <c r="P17" s="11"/>
    </row>
    <row r="18" spans="1:16" ht="10.5" customHeight="1">
      <c r="A18" s="51" t="s">
        <v>91</v>
      </c>
      <c r="B18" s="51"/>
      <c r="C18" s="68">
        <f>J17</f>
        <v>2.757427303818039</v>
      </c>
      <c r="D18" s="15">
        <f>-$C$23*0.1</f>
        <v>-1.0438</v>
      </c>
      <c r="E18" s="67">
        <f aca="true" t="shared" si="1" ref="E18:O18">($A$9/8)*(F60*F66*(F73-F74)*(F75-F76))</f>
        <v>0.00264735668668254</v>
      </c>
      <c r="F18" s="67">
        <f t="shared" si="1"/>
        <v>0.10472094923056338</v>
      </c>
      <c r="G18" s="67">
        <f t="shared" si="1"/>
        <v>0.9030087520217993</v>
      </c>
      <c r="H18" s="67">
        <f t="shared" si="1"/>
        <v>2.236258685816343</v>
      </c>
      <c r="I18" s="67">
        <f t="shared" si="1"/>
        <v>2.720965283656173</v>
      </c>
      <c r="J18" s="67">
        <f t="shared" si="1"/>
        <v>2.757427303818039</v>
      </c>
      <c r="K18" s="67">
        <f t="shared" si="1"/>
        <v>2.720965283656173</v>
      </c>
      <c r="L18" s="67">
        <f t="shared" si="1"/>
        <v>2.236258685816343</v>
      </c>
      <c r="M18" s="67">
        <f t="shared" si="1"/>
        <v>0.9030087520217993</v>
      </c>
      <c r="N18" s="67">
        <f t="shared" si="1"/>
        <v>0.10472094923056338</v>
      </c>
      <c r="O18" s="67">
        <f t="shared" si="1"/>
        <v>0.00264735668668254</v>
      </c>
      <c r="P18" s="11"/>
    </row>
    <row r="19" spans="4:16" ht="10.5" customHeight="1">
      <c r="D19" s="15">
        <f>-$C$23*0.2</f>
        <v>-2.0876</v>
      </c>
      <c r="E19" s="67">
        <f aca="true" t="shared" si="2" ref="E19:O19">($A$9/8)*(F80*F86*(F93-F94)*(F95-F96))</f>
        <v>0.00264735668668254</v>
      </c>
      <c r="F19" s="67">
        <f t="shared" si="2"/>
        <v>0.10472094923056338</v>
      </c>
      <c r="G19" s="67">
        <f t="shared" si="2"/>
        <v>0.9030087520217993</v>
      </c>
      <c r="H19" s="67">
        <f t="shared" si="2"/>
        <v>2.236258685816343</v>
      </c>
      <c r="I19" s="67">
        <f t="shared" si="2"/>
        <v>2.720965283656173</v>
      </c>
      <c r="J19" s="67">
        <f t="shared" si="2"/>
        <v>2.757427303818039</v>
      </c>
      <c r="K19" s="67">
        <f t="shared" si="2"/>
        <v>2.720965283656173</v>
      </c>
      <c r="L19" s="67">
        <f t="shared" si="2"/>
        <v>2.236258685816343</v>
      </c>
      <c r="M19" s="67">
        <f t="shared" si="2"/>
        <v>0.9030087520217993</v>
      </c>
      <c r="N19" s="67">
        <f t="shared" si="2"/>
        <v>0.10472094923056338</v>
      </c>
      <c r="O19" s="67">
        <f t="shared" si="2"/>
        <v>0.00264735668668254</v>
      </c>
      <c r="P19" s="11"/>
    </row>
    <row r="20" spans="1:16" ht="10.5" customHeight="1">
      <c r="A20" s="38" t="s">
        <v>38</v>
      </c>
      <c r="B20" s="39"/>
      <c r="C20" s="39"/>
      <c r="D20" s="15">
        <f>-$C$23*0.3</f>
        <v>-3.1314</v>
      </c>
      <c r="E20" s="67">
        <f aca="true" t="shared" si="3" ref="E20:O20">($A$9/8)*(F100*F106*(F113-F114)*(F115-F116))</f>
        <v>0.00264735668668254</v>
      </c>
      <c r="F20" s="67">
        <f t="shared" si="3"/>
        <v>0.10472094923056338</v>
      </c>
      <c r="G20" s="67">
        <f t="shared" si="3"/>
        <v>0.9030087520217993</v>
      </c>
      <c r="H20" s="67">
        <f t="shared" si="3"/>
        <v>2.236258685816343</v>
      </c>
      <c r="I20" s="67">
        <f t="shared" si="3"/>
        <v>2.720965283656173</v>
      </c>
      <c r="J20" s="67">
        <f t="shared" si="3"/>
        <v>2.757427303818039</v>
      </c>
      <c r="K20" s="67">
        <f t="shared" si="3"/>
        <v>2.720965283656173</v>
      </c>
      <c r="L20" s="67">
        <f t="shared" si="3"/>
        <v>2.236258685816343</v>
      </c>
      <c r="M20" s="67">
        <f t="shared" si="3"/>
        <v>0.9030087520217993</v>
      </c>
      <c r="N20" s="67">
        <f t="shared" si="3"/>
        <v>0.10472094923056338</v>
      </c>
      <c r="O20" s="67">
        <f t="shared" si="3"/>
        <v>0.00264735668668254</v>
      </c>
      <c r="P20" s="11"/>
    </row>
    <row r="21" spans="1:16" ht="10.5" customHeight="1">
      <c r="A21" s="21" t="s">
        <v>39</v>
      </c>
      <c r="B21" s="21"/>
      <c r="C21" s="41">
        <v>100</v>
      </c>
      <c r="D21" s="15">
        <f>-$C$23*0.4</f>
        <v>-4.1752</v>
      </c>
      <c r="E21" s="67">
        <f aca="true" t="shared" si="4" ref="E21:O21">($A$9/8)*(F120*F126*(F133-F134)*(F135-F136))</f>
        <v>0.00264735668668254</v>
      </c>
      <c r="F21" s="67">
        <f t="shared" si="4"/>
        <v>0.10472094923056338</v>
      </c>
      <c r="G21" s="67">
        <f t="shared" si="4"/>
        <v>0.9030087520217993</v>
      </c>
      <c r="H21" s="67">
        <f t="shared" si="4"/>
        <v>2.236258685816343</v>
      </c>
      <c r="I21" s="67">
        <f t="shared" si="4"/>
        <v>2.720965283656173</v>
      </c>
      <c r="J21" s="67">
        <f t="shared" si="4"/>
        <v>2.757427303818039</v>
      </c>
      <c r="K21" s="67">
        <f t="shared" si="4"/>
        <v>2.720965283656173</v>
      </c>
      <c r="L21" s="67">
        <f t="shared" si="4"/>
        <v>2.236258685816343</v>
      </c>
      <c r="M21" s="67">
        <f t="shared" si="4"/>
        <v>0.9030087520217993</v>
      </c>
      <c r="N21" s="67">
        <f t="shared" si="4"/>
        <v>0.10472094923056338</v>
      </c>
      <c r="O21" s="67">
        <f t="shared" si="4"/>
        <v>0.00264735668668254</v>
      </c>
      <c r="P21" s="11"/>
    </row>
    <row r="22" spans="1:16" ht="10.5" customHeight="1">
      <c r="A22" s="21" t="s">
        <v>40</v>
      </c>
      <c r="B22" s="21"/>
      <c r="C22" s="41">
        <v>187.75</v>
      </c>
      <c r="D22" s="15">
        <f>-$C$23*0.5</f>
        <v>-5.219</v>
      </c>
      <c r="E22" s="67">
        <f aca="true" t="shared" si="5" ref="E22:O22">($A$9/8)*(F140*F146*(F153-F154)*(F155-F156))</f>
        <v>0.00264735668668254</v>
      </c>
      <c r="F22" s="67">
        <f t="shared" si="5"/>
        <v>0.10472094923056338</v>
      </c>
      <c r="G22" s="67">
        <f t="shared" si="5"/>
        <v>0.9030087520217993</v>
      </c>
      <c r="H22" s="67">
        <f t="shared" si="5"/>
        <v>2.236258685816343</v>
      </c>
      <c r="I22" s="67">
        <f t="shared" si="5"/>
        <v>2.720965283656173</v>
      </c>
      <c r="J22" s="67">
        <f t="shared" si="5"/>
        <v>2.757427303818039</v>
      </c>
      <c r="K22" s="67">
        <f t="shared" si="5"/>
        <v>2.720965283656173</v>
      </c>
      <c r="L22" s="67">
        <f t="shared" si="5"/>
        <v>2.236258685816343</v>
      </c>
      <c r="M22" s="67">
        <f t="shared" si="5"/>
        <v>0.9030087520217993</v>
      </c>
      <c r="N22" s="67">
        <f t="shared" si="5"/>
        <v>0.10472094923056338</v>
      </c>
      <c r="O22" s="67">
        <f t="shared" si="5"/>
        <v>0.00264735668668254</v>
      </c>
      <c r="P22" s="11"/>
    </row>
    <row r="23" spans="1:16" ht="10.5" customHeight="1">
      <c r="A23" s="21" t="s">
        <v>41</v>
      </c>
      <c r="B23" s="21"/>
      <c r="C23" s="41">
        <v>10.438</v>
      </c>
      <c r="D23" s="15">
        <f>-$C$23*0.6</f>
        <v>-6.2628</v>
      </c>
      <c r="E23" s="67">
        <f aca="true" t="shared" si="6" ref="E23:O23">($A$9/8)*(F160*F166*(F173-F174)*(F175-F176))</f>
        <v>0.00264735668668254</v>
      </c>
      <c r="F23" s="67">
        <f t="shared" si="6"/>
        <v>0.10472094923056338</v>
      </c>
      <c r="G23" s="67">
        <f t="shared" si="6"/>
        <v>0.9030087520217993</v>
      </c>
      <c r="H23" s="67">
        <f t="shared" si="6"/>
        <v>2.236258685816343</v>
      </c>
      <c r="I23" s="67">
        <f t="shared" si="6"/>
        <v>2.720965283656173</v>
      </c>
      <c r="J23" s="67">
        <f t="shared" si="6"/>
        <v>2.757427303818039</v>
      </c>
      <c r="K23" s="67">
        <f t="shared" si="6"/>
        <v>2.720965283656173</v>
      </c>
      <c r="L23" s="67">
        <f t="shared" si="6"/>
        <v>2.236258685816343</v>
      </c>
      <c r="M23" s="67">
        <f t="shared" si="6"/>
        <v>0.9030087520217993</v>
      </c>
      <c r="N23" s="67">
        <f t="shared" si="6"/>
        <v>0.10472094923056338</v>
      </c>
      <c r="O23" s="67">
        <f t="shared" si="6"/>
        <v>0.00264735668668254</v>
      </c>
      <c r="P23" s="11"/>
    </row>
    <row r="24" spans="4:16" ht="10.5" customHeight="1">
      <c r="D24" s="15">
        <f>-$C$23*0.7</f>
        <v>-7.3065999999999995</v>
      </c>
      <c r="E24" s="67">
        <f aca="true" t="shared" si="7" ref="E24:O24">($A$9/8)*(F180*F186*(F193-F194)*(F195-F196))</f>
        <v>0.00264735668668254</v>
      </c>
      <c r="F24" s="67">
        <f t="shared" si="7"/>
        <v>0.10472094923056338</v>
      </c>
      <c r="G24" s="67">
        <f t="shared" si="7"/>
        <v>0.9030087520217993</v>
      </c>
      <c r="H24" s="67">
        <f t="shared" si="7"/>
        <v>2.236258685816343</v>
      </c>
      <c r="I24" s="67">
        <f t="shared" si="7"/>
        <v>2.720965283656173</v>
      </c>
      <c r="J24" s="67">
        <f t="shared" si="7"/>
        <v>2.757427303818039</v>
      </c>
      <c r="K24" s="67">
        <f t="shared" si="7"/>
        <v>2.720965283656173</v>
      </c>
      <c r="L24" s="67">
        <f t="shared" si="7"/>
        <v>2.236258685816343</v>
      </c>
      <c r="M24" s="67">
        <f t="shared" si="7"/>
        <v>0.9030087520217993</v>
      </c>
      <c r="N24" s="67">
        <f t="shared" si="7"/>
        <v>0.10472094923056338</v>
      </c>
      <c r="O24" s="67">
        <f t="shared" si="7"/>
        <v>0.00264735668668254</v>
      </c>
      <c r="P24" s="11"/>
    </row>
    <row r="25" spans="3:16" ht="10.5" customHeight="1">
      <c r="C25" s="22"/>
      <c r="D25" s="15">
        <f>-$C$23*0.8</f>
        <v>-8.3504</v>
      </c>
      <c r="E25" s="67">
        <f aca="true" t="shared" si="8" ref="E25:O25">($A$9/8)*(F200*F206*(F213-F214)*(F215-F216))</f>
        <v>0.00264735668668254</v>
      </c>
      <c r="F25" s="67">
        <f t="shared" si="8"/>
        <v>0.10472094923056338</v>
      </c>
      <c r="G25" s="67">
        <f t="shared" si="8"/>
        <v>0.9030087520217993</v>
      </c>
      <c r="H25" s="67">
        <f t="shared" si="8"/>
        <v>2.236258685816343</v>
      </c>
      <c r="I25" s="67">
        <f t="shared" si="8"/>
        <v>2.720965283656173</v>
      </c>
      <c r="J25" s="67">
        <f t="shared" si="8"/>
        <v>2.757427303818039</v>
      </c>
      <c r="K25" s="67">
        <f t="shared" si="8"/>
        <v>2.720965283656173</v>
      </c>
      <c r="L25" s="67">
        <f t="shared" si="8"/>
        <v>2.236258685816343</v>
      </c>
      <c r="M25" s="67">
        <f t="shared" si="8"/>
        <v>0.9030087520217993</v>
      </c>
      <c r="N25" s="67">
        <f t="shared" si="8"/>
        <v>0.10472094923056338</v>
      </c>
      <c r="O25" s="67">
        <f t="shared" si="8"/>
        <v>0.00264735668668254</v>
      </c>
      <c r="P25" s="11"/>
    </row>
    <row r="26" spans="1:16" ht="10.5" customHeight="1">
      <c r="A26" s="59" t="str">
        <f>IF(C17&lt;C18,"PENTOX NEEDED","PENTOX NOT NEEDED")</f>
        <v>PENTOX NEEDED</v>
      </c>
      <c r="B26" s="60"/>
      <c r="C26" s="16"/>
      <c r="D26" s="15">
        <f>-$C$23*0.9</f>
        <v>-9.394200000000001</v>
      </c>
      <c r="E26" s="67">
        <f aca="true" t="shared" si="9" ref="E26:O26">($A$9/8)*(F220*F226*(F233-F234)*(F235-F236))</f>
        <v>0.0026473323509001016</v>
      </c>
      <c r="F26" s="67">
        <f t="shared" si="9"/>
        <v>0.10471998658497429</v>
      </c>
      <c r="G26" s="67">
        <f t="shared" si="9"/>
        <v>0.9030004511288219</v>
      </c>
      <c r="H26" s="67">
        <f t="shared" si="9"/>
        <v>2.2362381290454603</v>
      </c>
      <c r="I26" s="67">
        <f t="shared" si="9"/>
        <v>2.720940271227928</v>
      </c>
      <c r="J26" s="67">
        <f t="shared" si="9"/>
        <v>2.7574019562132785</v>
      </c>
      <c r="K26" s="67">
        <f t="shared" si="9"/>
        <v>2.720940271227928</v>
      </c>
      <c r="L26" s="67">
        <f t="shared" si="9"/>
        <v>2.2362381290454603</v>
      </c>
      <c r="M26" s="67">
        <f t="shared" si="9"/>
        <v>0.9030004511288219</v>
      </c>
      <c r="N26" s="67">
        <f t="shared" si="9"/>
        <v>0.10471998658497429</v>
      </c>
      <c r="O26" s="67">
        <f t="shared" si="9"/>
        <v>0.0026473323509001016</v>
      </c>
      <c r="P26" s="11"/>
    </row>
    <row r="27" spans="4:16" ht="10.5" customHeight="1">
      <c r="D27" s="15">
        <f>-$C$23</f>
        <v>-10.438</v>
      </c>
      <c r="E27" s="67">
        <f aca="true" t="shared" si="10" ref="E27:O27">($A$9/8)*(F240*F246*(F253-F254)*(F255-F256))</f>
        <v>2.586542611163335E-06</v>
      </c>
      <c r="F27" s="67">
        <f t="shared" si="10"/>
        <v>0.00010231533923211214</v>
      </c>
      <c r="G27" s="67">
        <f t="shared" si="10"/>
        <v>0.0008822651768487942</v>
      </c>
      <c r="H27" s="67">
        <f t="shared" si="10"/>
        <v>0.00218488819793164</v>
      </c>
      <c r="I27" s="67">
        <f t="shared" si="10"/>
        <v>0.0026584602993154497</v>
      </c>
      <c r="J27" s="66">
        <f t="shared" si="10"/>
        <v>0.002694084727754651</v>
      </c>
      <c r="K27" s="67">
        <f t="shared" si="10"/>
        <v>0.0026584602993154497</v>
      </c>
      <c r="L27" s="67">
        <f t="shared" si="10"/>
        <v>0.00218488819793164</v>
      </c>
      <c r="M27" s="67">
        <f t="shared" si="10"/>
        <v>0.0008822651768487942</v>
      </c>
      <c r="N27" s="67">
        <f t="shared" si="10"/>
        <v>0.00010231533923211214</v>
      </c>
      <c r="O27" s="67">
        <f t="shared" si="10"/>
        <v>2.586542611163335E-06</v>
      </c>
      <c r="P27" s="11"/>
    </row>
    <row r="28" spans="10:16" ht="12">
      <c r="J28" s="28"/>
      <c r="P28" s="11"/>
    </row>
    <row r="29" spans="5:18" ht="12.75">
      <c r="E29" s="52" t="s">
        <v>89</v>
      </c>
      <c r="F29" s="52"/>
      <c r="G29" s="52"/>
      <c r="H29" s="52"/>
      <c r="I29" s="65">
        <f>ROUND(W38,6)</f>
        <v>1.277726</v>
      </c>
      <c r="J29" s="62" t="str">
        <f>A8</f>
        <v>mg/l</v>
      </c>
      <c r="K29" s="43"/>
      <c r="M29" s="43"/>
      <c r="R29" s="43"/>
    </row>
    <row r="30" spans="5:18" ht="10.5" customHeight="1">
      <c r="E30" s="16"/>
      <c r="F30" s="16"/>
      <c r="G30" s="16"/>
      <c r="H30" s="16"/>
      <c r="I30" s="16"/>
      <c r="J30" s="16"/>
      <c r="P30" s="11"/>
      <c r="R30" t="s">
        <v>80</v>
      </c>
    </row>
    <row r="31" spans="3:18" ht="10.5" customHeight="1">
      <c r="C31" s="16"/>
      <c r="E31" s="22" t="s">
        <v>83</v>
      </c>
      <c r="F31" s="22"/>
      <c r="G31" s="16"/>
      <c r="I31" s="53">
        <f>ROUND(B259*B260,3)*0.000000408</f>
        <v>0.000408676464</v>
      </c>
      <c r="J31" s="23" t="s">
        <v>82</v>
      </c>
      <c r="K31" s="45">
        <f>I31*0.64632</f>
        <v>0.00026413577221248</v>
      </c>
      <c r="L31" s="64" t="s">
        <v>93</v>
      </c>
      <c r="R31" s="63"/>
    </row>
    <row r="32" spans="3:16" ht="10.5" customHeight="1">
      <c r="C32" s="16"/>
      <c r="D32" s="16"/>
      <c r="K32" s="16"/>
      <c r="L32" s="16"/>
      <c r="M32" s="16"/>
      <c r="N32" s="16"/>
      <c r="O32" s="16"/>
      <c r="P32" s="11"/>
    </row>
    <row r="33" spans="3:16" ht="10.5" customHeight="1">
      <c r="C33" s="16"/>
      <c r="D33" s="16"/>
      <c r="E33" s="22" t="s">
        <v>42</v>
      </c>
      <c r="F33" s="22"/>
      <c r="G33" s="51"/>
      <c r="H33" s="69">
        <f>T40</f>
        <v>1279.8452101813066</v>
      </c>
      <c r="I33" s="70"/>
      <c r="J33" s="62" t="str">
        <f>CONCATENATE(LEFT(J29,2),"/day")</f>
        <v>mg/day</v>
      </c>
      <c r="K33" s="16"/>
      <c r="L33" s="16"/>
      <c r="M33" s="16"/>
      <c r="N33" s="16"/>
      <c r="O33" s="16"/>
      <c r="P33" s="11"/>
    </row>
    <row r="34" ht="9.75" customHeight="1"/>
    <row r="36" spans="1:16" ht="12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23" ht="12" hidden="1">
      <c r="A37" s="11"/>
      <c r="B37" s="11"/>
      <c r="C37" s="11"/>
      <c r="D37" s="11"/>
      <c r="E37" s="11"/>
      <c r="F37" s="11" t="s">
        <v>43</v>
      </c>
      <c r="G37" s="55"/>
      <c r="H37" s="11"/>
      <c r="I37" s="11" t="s">
        <v>44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" hidden="1">
      <c r="A38" s="55" t="s">
        <v>45</v>
      </c>
      <c r="B38" s="55"/>
      <c r="C38" s="55"/>
      <c r="D38" s="55"/>
      <c r="E38" s="55"/>
      <c r="F38" s="55">
        <f aca="true" t="shared" si="11" ref="F38:P38">$C$21/(2*$B$9)</f>
        <v>2.5</v>
      </c>
      <c r="G38" s="55">
        <f t="shared" si="11"/>
        <v>2.5</v>
      </c>
      <c r="H38" s="55">
        <f t="shared" si="11"/>
        <v>2.5</v>
      </c>
      <c r="I38" s="55">
        <f t="shared" si="11"/>
        <v>2.5</v>
      </c>
      <c r="J38" s="55">
        <f t="shared" si="11"/>
        <v>2.5</v>
      </c>
      <c r="K38" s="55">
        <f t="shared" si="11"/>
        <v>2.5</v>
      </c>
      <c r="L38" s="55">
        <f t="shared" si="11"/>
        <v>2.5</v>
      </c>
      <c r="M38" s="55">
        <f t="shared" si="11"/>
        <v>2.5</v>
      </c>
      <c r="N38" s="55">
        <f t="shared" si="11"/>
        <v>2.5</v>
      </c>
      <c r="O38" s="55">
        <f t="shared" si="11"/>
        <v>2.5</v>
      </c>
      <c r="P38" s="55">
        <f t="shared" si="11"/>
        <v>2.5</v>
      </c>
      <c r="Q38" s="11"/>
      <c r="R38" s="11" t="s">
        <v>88</v>
      </c>
      <c r="S38" s="11">
        <f>SUMIF(E17:O27,"&gt;.0009")</f>
        <v>146.93853930638218</v>
      </c>
      <c r="T38" s="11" t="s">
        <v>87</v>
      </c>
      <c r="U38" s="11">
        <f>COUNTIF(E17:O27,"&gt;.0009")</f>
        <v>115</v>
      </c>
      <c r="V38" s="11" t="s">
        <v>86</v>
      </c>
      <c r="W38" s="11">
        <f>S38/U38</f>
        <v>1.2777264287511494</v>
      </c>
    </row>
    <row r="39" spans="1:23" ht="12" hidden="1">
      <c r="A39" s="55" t="s">
        <v>46</v>
      </c>
      <c r="B39" s="55"/>
      <c r="C39" s="55"/>
      <c r="D39" s="55"/>
      <c r="E39" s="55"/>
      <c r="F39" s="55">
        <f aca="true" t="shared" si="12" ref="F39:P39">1-(SQRT(1+(4*$E$9*$B$9)/$H$14))</f>
        <v>-0.5880806024884253</v>
      </c>
      <c r="G39" s="55">
        <f t="shared" si="12"/>
        <v>-0.5880806024884253</v>
      </c>
      <c r="H39" s="55">
        <f t="shared" si="12"/>
        <v>-0.5880806024884253</v>
      </c>
      <c r="I39" s="55">
        <f t="shared" si="12"/>
        <v>-0.5880806024884253</v>
      </c>
      <c r="J39" s="55">
        <f t="shared" si="12"/>
        <v>-0.5880806024884253</v>
      </c>
      <c r="K39" s="55">
        <f t="shared" si="12"/>
        <v>-0.5880806024884253</v>
      </c>
      <c r="L39" s="55">
        <f t="shared" si="12"/>
        <v>-0.5880806024884253</v>
      </c>
      <c r="M39" s="55">
        <f t="shared" si="12"/>
        <v>-0.5880806024884253</v>
      </c>
      <c r="N39" s="55">
        <f t="shared" si="12"/>
        <v>-0.5880806024884253</v>
      </c>
      <c r="O39" s="55">
        <f t="shared" si="12"/>
        <v>-0.5880806024884253</v>
      </c>
      <c r="P39" s="55">
        <f t="shared" si="12"/>
        <v>-0.5880806024884253</v>
      </c>
      <c r="Q39" s="11"/>
      <c r="R39" s="11"/>
      <c r="S39" s="44"/>
      <c r="T39" s="11"/>
      <c r="U39" s="11"/>
      <c r="V39" s="11"/>
      <c r="W39" s="11"/>
    </row>
    <row r="40" spans="1:23" ht="12" hidden="1">
      <c r="A40" s="55" t="s">
        <v>47</v>
      </c>
      <c r="B40" s="55"/>
      <c r="C40" s="55"/>
      <c r="D40" s="55" t="s">
        <v>48</v>
      </c>
      <c r="E40" s="55"/>
      <c r="F40" s="55">
        <f aca="true" t="shared" si="13" ref="F40:P40">EXP(F38*F39)</f>
        <v>0.22987915843879847</v>
      </c>
      <c r="G40" s="55">
        <f t="shared" si="13"/>
        <v>0.22987915843879847</v>
      </c>
      <c r="H40" s="55">
        <f t="shared" si="13"/>
        <v>0.22987915843879847</v>
      </c>
      <c r="I40" s="55">
        <f t="shared" si="13"/>
        <v>0.22987915843879847</v>
      </c>
      <c r="J40" s="55">
        <f t="shared" si="13"/>
        <v>0.22987915843879847</v>
      </c>
      <c r="K40" s="55">
        <f t="shared" si="13"/>
        <v>0.22987915843879847</v>
      </c>
      <c r="L40" s="55">
        <f t="shared" si="13"/>
        <v>0.22987915843879847</v>
      </c>
      <c r="M40" s="55">
        <f t="shared" si="13"/>
        <v>0.22987915843879847</v>
      </c>
      <c r="N40" s="55">
        <f t="shared" si="13"/>
        <v>0.22987915843879847</v>
      </c>
      <c r="O40" s="55">
        <f t="shared" si="13"/>
        <v>0.22987915843879847</v>
      </c>
      <c r="P40" s="55">
        <f t="shared" si="13"/>
        <v>0.22987915843879847</v>
      </c>
      <c r="Q40" s="11"/>
      <c r="R40" s="11" t="s">
        <v>81</v>
      </c>
      <c r="S40" s="11"/>
      <c r="T40" s="11">
        <f>$B$259*$B$260*W38</f>
        <v>1279.8452101813066</v>
      </c>
      <c r="U40" s="11"/>
      <c r="V40" s="11"/>
      <c r="W40" s="11"/>
    </row>
    <row r="41" spans="1:23" ht="12" hidden="1">
      <c r="A41" s="55" t="s">
        <v>49</v>
      </c>
      <c r="B41" s="55"/>
      <c r="C41" s="55"/>
      <c r="D41" s="55"/>
      <c r="E41" s="55"/>
      <c r="F41" s="55">
        <f aca="true" t="shared" si="14" ref="F41:P41">$H$14*$H$9</f>
        <v>4.204993429697766E+97</v>
      </c>
      <c r="G41" s="55">
        <f t="shared" si="14"/>
        <v>4.204993429697766E+97</v>
      </c>
      <c r="H41" s="55">
        <f t="shared" si="14"/>
        <v>4.204993429697766E+97</v>
      </c>
      <c r="I41" s="55">
        <f t="shared" si="14"/>
        <v>4.204993429697766E+97</v>
      </c>
      <c r="J41" s="55">
        <f t="shared" si="14"/>
        <v>4.204993429697766E+97</v>
      </c>
      <c r="K41" s="55">
        <f t="shared" si="14"/>
        <v>4.204993429697766E+97</v>
      </c>
      <c r="L41" s="55">
        <f t="shared" si="14"/>
        <v>4.204993429697766E+97</v>
      </c>
      <c r="M41" s="55">
        <f t="shared" si="14"/>
        <v>4.204993429697766E+97</v>
      </c>
      <c r="N41" s="55">
        <f t="shared" si="14"/>
        <v>4.204993429697766E+97</v>
      </c>
      <c r="O41" s="55">
        <f t="shared" si="14"/>
        <v>4.204993429697766E+97</v>
      </c>
      <c r="P41" s="55">
        <f t="shared" si="14"/>
        <v>4.204993429697766E+97</v>
      </c>
      <c r="Q41" s="11"/>
      <c r="R41" s="11"/>
      <c r="S41" s="11"/>
      <c r="T41" s="11"/>
      <c r="U41" s="11"/>
      <c r="V41" s="11"/>
      <c r="W41" s="11"/>
    </row>
    <row r="42" spans="1:23" ht="12" hidden="1">
      <c r="A42" s="55" t="s">
        <v>50</v>
      </c>
      <c r="B42" s="55"/>
      <c r="C42" s="55"/>
      <c r="D42" s="55"/>
      <c r="E42" s="55"/>
      <c r="F42" s="55">
        <f aca="true" t="shared" si="15" ref="F42:P42">SQRT(1+(4*$E$9*$B$9/$H$14))</f>
        <v>1.5880806024884253</v>
      </c>
      <c r="G42" s="55">
        <f t="shared" si="15"/>
        <v>1.5880806024884253</v>
      </c>
      <c r="H42" s="55">
        <f t="shared" si="15"/>
        <v>1.5880806024884253</v>
      </c>
      <c r="I42" s="55">
        <f t="shared" si="15"/>
        <v>1.5880806024884253</v>
      </c>
      <c r="J42" s="55">
        <f t="shared" si="15"/>
        <v>1.5880806024884253</v>
      </c>
      <c r="K42" s="55">
        <f t="shared" si="15"/>
        <v>1.5880806024884253</v>
      </c>
      <c r="L42" s="55">
        <f t="shared" si="15"/>
        <v>1.5880806024884253</v>
      </c>
      <c r="M42" s="55">
        <f t="shared" si="15"/>
        <v>1.5880806024884253</v>
      </c>
      <c r="N42" s="55">
        <f t="shared" si="15"/>
        <v>1.5880806024884253</v>
      </c>
      <c r="O42" s="55">
        <f t="shared" si="15"/>
        <v>1.5880806024884253</v>
      </c>
      <c r="P42" s="55">
        <f t="shared" si="15"/>
        <v>1.5880806024884253</v>
      </c>
      <c r="Q42" s="11"/>
      <c r="R42" s="11"/>
      <c r="S42" s="11"/>
      <c r="T42" s="11"/>
      <c r="U42" s="11"/>
      <c r="V42" s="11"/>
      <c r="W42" s="11"/>
    </row>
    <row r="43" spans="1:23" ht="12" hidden="1">
      <c r="A43" s="55" t="s">
        <v>51</v>
      </c>
      <c r="B43" s="55"/>
      <c r="C43" s="55"/>
      <c r="D43" s="55"/>
      <c r="E43" s="55"/>
      <c r="F43" s="55">
        <f aca="true" t="shared" si="16" ref="F43:P43">($C$21-(F41*F42))/F44</f>
        <v>-1.1513575373063837E+48</v>
      </c>
      <c r="G43" s="55">
        <f t="shared" si="16"/>
        <v>-1.1513575373063837E+48</v>
      </c>
      <c r="H43" s="55">
        <f t="shared" si="16"/>
        <v>-1.1513575373063837E+48</v>
      </c>
      <c r="I43" s="55">
        <f t="shared" si="16"/>
        <v>-1.1513575373063837E+48</v>
      </c>
      <c r="J43" s="55">
        <f t="shared" si="16"/>
        <v>-1.1513575373063837E+48</v>
      </c>
      <c r="K43" s="55">
        <f t="shared" si="16"/>
        <v>-1.1513575373063837E+48</v>
      </c>
      <c r="L43" s="55">
        <f t="shared" si="16"/>
        <v>-1.1513575373063837E+48</v>
      </c>
      <c r="M43" s="55">
        <f t="shared" si="16"/>
        <v>-1.1513575373063837E+48</v>
      </c>
      <c r="N43" s="55">
        <f t="shared" si="16"/>
        <v>-1.1513575373063837E+48</v>
      </c>
      <c r="O43" s="55">
        <f t="shared" si="16"/>
        <v>-1.1513575373063837E+48</v>
      </c>
      <c r="P43" s="55">
        <f t="shared" si="16"/>
        <v>-1.1513575373063837E+48</v>
      </c>
      <c r="Q43" s="11"/>
      <c r="R43" s="11"/>
      <c r="S43" s="11"/>
      <c r="T43" s="11"/>
      <c r="U43" s="11"/>
      <c r="V43" s="11"/>
      <c r="W43" s="11"/>
    </row>
    <row r="44" spans="1:23" ht="12" hidden="1">
      <c r="A44" s="55" t="s">
        <v>52</v>
      </c>
      <c r="B44" s="55"/>
      <c r="C44" s="55"/>
      <c r="D44" s="55"/>
      <c r="E44" s="55"/>
      <c r="F44" s="55">
        <f aca="true" t="shared" si="17" ref="F44:P44">2*SQRT($B$9*$H$14*$H$9)</f>
        <v>5.79999546875531E+49</v>
      </c>
      <c r="G44" s="55">
        <f t="shared" si="17"/>
        <v>5.79999546875531E+49</v>
      </c>
      <c r="H44" s="55">
        <f t="shared" si="17"/>
        <v>5.79999546875531E+49</v>
      </c>
      <c r="I44" s="55">
        <f t="shared" si="17"/>
        <v>5.79999546875531E+49</v>
      </c>
      <c r="J44" s="55">
        <f t="shared" si="17"/>
        <v>5.79999546875531E+49</v>
      </c>
      <c r="K44" s="55">
        <f t="shared" si="17"/>
        <v>5.79999546875531E+49</v>
      </c>
      <c r="L44" s="55">
        <f t="shared" si="17"/>
        <v>5.79999546875531E+49</v>
      </c>
      <c r="M44" s="55">
        <f t="shared" si="17"/>
        <v>5.79999546875531E+49</v>
      </c>
      <c r="N44" s="55">
        <f t="shared" si="17"/>
        <v>5.79999546875531E+49</v>
      </c>
      <c r="O44" s="55">
        <f t="shared" si="17"/>
        <v>5.79999546875531E+49</v>
      </c>
      <c r="P44" s="55">
        <f t="shared" si="17"/>
        <v>5.79999546875531E+49</v>
      </c>
      <c r="Q44" s="11"/>
      <c r="R44" s="11"/>
      <c r="S44" s="11"/>
      <c r="T44" s="11"/>
      <c r="U44" s="11"/>
      <c r="V44" s="11"/>
      <c r="W44" s="11"/>
    </row>
    <row r="45" spans="1:23" ht="12" hidden="1">
      <c r="A45" s="55" t="s">
        <v>53</v>
      </c>
      <c r="B45" s="55"/>
      <c r="C45" s="55"/>
      <c r="D45" s="55"/>
      <c r="E45" s="55"/>
      <c r="F45" s="55">
        <f aca="true" t="shared" si="18" ref="F45:P45">(F42*F43)/F44</f>
        <v>-0.031525</v>
      </c>
      <c r="G45" s="55">
        <f t="shared" si="18"/>
        <v>-0.031525</v>
      </c>
      <c r="H45" s="55">
        <f t="shared" si="18"/>
        <v>-0.031525</v>
      </c>
      <c r="I45" s="55">
        <f t="shared" si="18"/>
        <v>-0.031525</v>
      </c>
      <c r="J45" s="55">
        <f t="shared" si="18"/>
        <v>-0.031525</v>
      </c>
      <c r="K45" s="55">
        <f t="shared" si="18"/>
        <v>-0.031525</v>
      </c>
      <c r="L45" s="55">
        <f t="shared" si="18"/>
        <v>-0.031525</v>
      </c>
      <c r="M45" s="55">
        <f t="shared" si="18"/>
        <v>-0.031525</v>
      </c>
      <c r="N45" s="55">
        <f t="shared" si="18"/>
        <v>-0.031525</v>
      </c>
      <c r="O45" s="55">
        <f t="shared" si="18"/>
        <v>-0.031525</v>
      </c>
      <c r="P45" s="55">
        <f t="shared" si="18"/>
        <v>-0.031525</v>
      </c>
      <c r="Q45" s="11"/>
      <c r="R45" s="11"/>
      <c r="S45" s="11"/>
      <c r="T45" s="11"/>
      <c r="U45" s="11"/>
      <c r="V45" s="11"/>
      <c r="W45" s="11"/>
    </row>
    <row r="46" spans="1:23" ht="12" hidden="1">
      <c r="A46" s="55" t="s">
        <v>54</v>
      </c>
      <c r="B46" s="55"/>
      <c r="C46" s="55"/>
      <c r="D46" s="55"/>
      <c r="E46" s="55"/>
      <c r="F46" s="55">
        <f aca="true" t="shared" si="19" ref="F46:P46">IF(F43&gt;10,0,IF(F43&gt;=0,ERFC(F43),IF(F43&lt;-3.75,2,1+ERF(ABS(F43)))))</f>
        <v>2</v>
      </c>
      <c r="G46" s="55">
        <f t="shared" si="19"/>
        <v>2</v>
      </c>
      <c r="H46" s="55">
        <f t="shared" si="19"/>
        <v>2</v>
      </c>
      <c r="I46" s="55">
        <f t="shared" si="19"/>
        <v>2</v>
      </c>
      <c r="J46" s="55">
        <f t="shared" si="19"/>
        <v>2</v>
      </c>
      <c r="K46" s="55">
        <f t="shared" si="19"/>
        <v>2</v>
      </c>
      <c r="L46" s="55">
        <f t="shared" si="19"/>
        <v>2</v>
      </c>
      <c r="M46" s="55">
        <f t="shared" si="19"/>
        <v>2</v>
      </c>
      <c r="N46" s="55">
        <f t="shared" si="19"/>
        <v>2</v>
      </c>
      <c r="O46" s="55">
        <f t="shared" si="19"/>
        <v>2</v>
      </c>
      <c r="P46" s="55">
        <f t="shared" si="19"/>
        <v>2</v>
      </c>
      <c r="Q46" s="11"/>
      <c r="R46" s="11"/>
      <c r="S46" s="11"/>
      <c r="T46" s="11"/>
      <c r="U46" s="11"/>
      <c r="V46" s="11"/>
      <c r="W46" s="11"/>
    </row>
    <row r="47" spans="1:23" ht="12" hidden="1">
      <c r="A47" s="55" t="s">
        <v>55</v>
      </c>
      <c r="B47" s="55"/>
      <c r="C47" s="55"/>
      <c r="D47" s="55"/>
      <c r="E47" s="55"/>
      <c r="F47" s="55">
        <f aca="true" t="shared" si="20" ref="F47:P47">2*SQRT($C$9*$C$21)</f>
        <v>20</v>
      </c>
      <c r="G47" s="55">
        <f t="shared" si="20"/>
        <v>20</v>
      </c>
      <c r="H47" s="55">
        <f t="shared" si="20"/>
        <v>20</v>
      </c>
      <c r="I47" s="55">
        <f t="shared" si="20"/>
        <v>20</v>
      </c>
      <c r="J47" s="55">
        <f t="shared" si="20"/>
        <v>20</v>
      </c>
      <c r="K47" s="55">
        <f t="shared" si="20"/>
        <v>20</v>
      </c>
      <c r="L47" s="55">
        <f t="shared" si="20"/>
        <v>20</v>
      </c>
      <c r="M47" s="55">
        <f t="shared" si="20"/>
        <v>20</v>
      </c>
      <c r="N47" s="55">
        <f t="shared" si="20"/>
        <v>20</v>
      </c>
      <c r="O47" s="55">
        <f t="shared" si="20"/>
        <v>20</v>
      </c>
      <c r="P47" s="55">
        <f t="shared" si="20"/>
        <v>20</v>
      </c>
      <c r="Q47" s="11"/>
      <c r="R47" s="11"/>
      <c r="S47" s="11"/>
      <c r="T47" s="11"/>
      <c r="U47" s="11"/>
      <c r="V47" s="11"/>
      <c r="W47" s="11"/>
    </row>
    <row r="48" spans="1:23" ht="12" hidden="1">
      <c r="A48" s="55" t="s">
        <v>56</v>
      </c>
      <c r="B48" s="55"/>
      <c r="C48" s="55"/>
      <c r="D48" s="55"/>
      <c r="E48" s="55"/>
      <c r="F48" s="55">
        <f aca="true" t="shared" si="21" ref="F48:P48">2*SQRT($D$9*$C$21)</f>
        <v>0.2</v>
      </c>
      <c r="G48" s="55">
        <f t="shared" si="21"/>
        <v>0.2</v>
      </c>
      <c r="H48" s="55">
        <f t="shared" si="21"/>
        <v>0.2</v>
      </c>
      <c r="I48" s="55">
        <f t="shared" si="21"/>
        <v>0.2</v>
      </c>
      <c r="J48" s="55">
        <f t="shared" si="21"/>
        <v>0.2</v>
      </c>
      <c r="K48" s="55">
        <f t="shared" si="21"/>
        <v>0.2</v>
      </c>
      <c r="L48" s="55">
        <f t="shared" si="21"/>
        <v>0.2</v>
      </c>
      <c r="M48" s="55">
        <f t="shared" si="21"/>
        <v>0.2</v>
      </c>
      <c r="N48" s="55">
        <f t="shared" si="21"/>
        <v>0.2</v>
      </c>
      <c r="O48" s="55">
        <f t="shared" si="21"/>
        <v>0.2</v>
      </c>
      <c r="P48" s="55">
        <f t="shared" si="21"/>
        <v>0.2</v>
      </c>
      <c r="Q48" s="11"/>
      <c r="R48" s="11"/>
      <c r="S48" s="11"/>
      <c r="T48" s="11"/>
      <c r="U48" s="11"/>
      <c r="V48" s="11"/>
      <c r="W48" s="11"/>
    </row>
    <row r="49" spans="1:23" ht="12" hidden="1">
      <c r="A49" s="55" t="s">
        <v>57</v>
      </c>
      <c r="B49" s="55"/>
      <c r="C49" s="55"/>
      <c r="D49" s="55"/>
      <c r="E49" s="55"/>
      <c r="F49" s="55">
        <f aca="true" t="shared" si="22" ref="F49:P49">((E$16+($F$9/2))/F47)</f>
        <v>-2.19375</v>
      </c>
      <c r="G49" s="55">
        <f t="shared" si="22"/>
        <v>-1.2550000000000003</v>
      </c>
      <c r="H49" s="55">
        <f t="shared" si="22"/>
        <v>-0.3162499999999998</v>
      </c>
      <c r="I49" s="55">
        <f t="shared" si="22"/>
        <v>0.6224999999999998</v>
      </c>
      <c r="J49" s="55">
        <f t="shared" si="22"/>
        <v>1.5612499999999998</v>
      </c>
      <c r="K49" s="55">
        <f t="shared" si="22"/>
        <v>2.5</v>
      </c>
      <c r="L49" s="55">
        <f t="shared" si="22"/>
        <v>3.43875</v>
      </c>
      <c r="M49" s="55">
        <f t="shared" si="22"/>
        <v>4.3775</v>
      </c>
      <c r="N49" s="55">
        <f t="shared" si="22"/>
        <v>5.316249999999999</v>
      </c>
      <c r="O49" s="55">
        <f t="shared" si="22"/>
        <v>6.255000000000001</v>
      </c>
      <c r="P49" s="55">
        <f t="shared" si="22"/>
        <v>7.19375</v>
      </c>
      <c r="Q49" s="11"/>
      <c r="R49" s="11"/>
      <c r="S49" s="11"/>
      <c r="T49" s="11"/>
      <c r="U49" s="11"/>
      <c r="V49" s="11"/>
      <c r="W49" s="11"/>
    </row>
    <row r="50" spans="1:23" ht="12" hidden="1">
      <c r="A50" s="55" t="s">
        <v>58</v>
      </c>
      <c r="B50" s="55"/>
      <c r="C50" s="55"/>
      <c r="D50" s="55"/>
      <c r="E50" s="55"/>
      <c r="F50" s="55">
        <f aca="true" t="shared" si="23" ref="F50:P50">((E$16-($F$9/2))/F47)</f>
        <v>-7.19375</v>
      </c>
      <c r="G50" s="55">
        <f t="shared" si="23"/>
        <v>-6.255000000000001</v>
      </c>
      <c r="H50" s="55">
        <f t="shared" si="23"/>
        <v>-5.316249999999999</v>
      </c>
      <c r="I50" s="55">
        <f t="shared" si="23"/>
        <v>-4.3775</v>
      </c>
      <c r="J50" s="55">
        <f t="shared" si="23"/>
        <v>-3.43875</v>
      </c>
      <c r="K50" s="55">
        <f t="shared" si="23"/>
        <v>-2.5</v>
      </c>
      <c r="L50" s="55">
        <f t="shared" si="23"/>
        <v>-1.5612499999999998</v>
      </c>
      <c r="M50" s="55">
        <f t="shared" si="23"/>
        <v>-0.6224999999999998</v>
      </c>
      <c r="N50" s="55">
        <f t="shared" si="23"/>
        <v>0.3162499999999998</v>
      </c>
      <c r="O50" s="55">
        <f t="shared" si="23"/>
        <v>1.2550000000000003</v>
      </c>
      <c r="P50" s="55">
        <f t="shared" si="23"/>
        <v>2.19375</v>
      </c>
      <c r="Q50" s="11"/>
      <c r="R50" s="11"/>
      <c r="S50" s="11"/>
      <c r="T50" s="11"/>
      <c r="U50" s="11"/>
      <c r="V50" s="11"/>
      <c r="W50" s="11"/>
    </row>
    <row r="51" spans="1:23" ht="12" hidden="1">
      <c r="A51" s="55" t="s">
        <v>59</v>
      </c>
      <c r="B51" s="55"/>
      <c r="C51" s="55"/>
      <c r="D51" s="55"/>
      <c r="E51" s="55"/>
      <c r="F51" s="55">
        <f aca="true" t="shared" si="24" ref="F51:P51">($D$17+$G$9)/F48</f>
        <v>50</v>
      </c>
      <c r="G51" s="55">
        <f t="shared" si="24"/>
        <v>50</v>
      </c>
      <c r="H51" s="55">
        <f t="shared" si="24"/>
        <v>50</v>
      </c>
      <c r="I51" s="55">
        <f t="shared" si="24"/>
        <v>50</v>
      </c>
      <c r="J51" s="55">
        <f t="shared" si="24"/>
        <v>50</v>
      </c>
      <c r="K51" s="55">
        <f t="shared" si="24"/>
        <v>50</v>
      </c>
      <c r="L51" s="55">
        <f t="shared" si="24"/>
        <v>50</v>
      </c>
      <c r="M51" s="55">
        <f t="shared" si="24"/>
        <v>50</v>
      </c>
      <c r="N51" s="55">
        <f t="shared" si="24"/>
        <v>50</v>
      </c>
      <c r="O51" s="55">
        <f t="shared" si="24"/>
        <v>50</v>
      </c>
      <c r="P51" s="55">
        <f t="shared" si="24"/>
        <v>50</v>
      </c>
      <c r="Q51" s="11"/>
      <c r="R51" s="11"/>
      <c r="S51" s="11"/>
      <c r="T51" s="11"/>
      <c r="U51" s="11"/>
      <c r="V51" s="11"/>
      <c r="W51" s="11"/>
    </row>
    <row r="52" spans="1:23" ht="12" hidden="1">
      <c r="A52" s="55" t="s">
        <v>60</v>
      </c>
      <c r="B52" s="55"/>
      <c r="C52" s="55"/>
      <c r="D52" s="55"/>
      <c r="E52" s="55"/>
      <c r="F52" s="55">
        <f aca="true" t="shared" si="25" ref="F52:P52">($D$17-$G$9)/F48</f>
        <v>-50</v>
      </c>
      <c r="G52" s="55">
        <f t="shared" si="25"/>
        <v>-50</v>
      </c>
      <c r="H52" s="55">
        <f t="shared" si="25"/>
        <v>-50</v>
      </c>
      <c r="I52" s="55">
        <f t="shared" si="25"/>
        <v>-50</v>
      </c>
      <c r="J52" s="55">
        <f t="shared" si="25"/>
        <v>-50</v>
      </c>
      <c r="K52" s="55">
        <f t="shared" si="25"/>
        <v>-50</v>
      </c>
      <c r="L52" s="55">
        <f t="shared" si="25"/>
        <v>-50</v>
      </c>
      <c r="M52" s="55">
        <f t="shared" si="25"/>
        <v>-50</v>
      </c>
      <c r="N52" s="55">
        <f t="shared" si="25"/>
        <v>-50</v>
      </c>
      <c r="O52" s="55">
        <f t="shared" si="25"/>
        <v>-50</v>
      </c>
      <c r="P52" s="55">
        <f t="shared" si="25"/>
        <v>-50</v>
      </c>
      <c r="Q52" s="11"/>
      <c r="R52" s="11"/>
      <c r="S52" s="11"/>
      <c r="T52" s="11"/>
      <c r="U52" s="11"/>
      <c r="V52" s="11"/>
      <c r="W52" s="11"/>
    </row>
    <row r="53" spans="1:23" ht="12" hidden="1">
      <c r="A53" s="55" t="s">
        <v>61</v>
      </c>
      <c r="B53" s="55"/>
      <c r="C53" s="55"/>
      <c r="D53" s="55"/>
      <c r="E53" s="55"/>
      <c r="F53" s="55">
        <f aca="true" t="shared" si="26" ref="F53:P53">IF(F49&gt;3.5,1,IF(F49&gt;=0,ERF(F49),IF(F49&gt;-3.5,-ERF(ABS(F49)),-1)))</f>
        <v>-0.9980806171492725</v>
      </c>
      <c r="G53" s="55">
        <f t="shared" si="26"/>
        <v>-0.9240753635215959</v>
      </c>
      <c r="H53" s="55">
        <f t="shared" si="26"/>
        <v>-0.3453018547117728</v>
      </c>
      <c r="I53" s="55">
        <f t="shared" si="26"/>
        <v>0.6213291518057229</v>
      </c>
      <c r="J53" s="55">
        <f t="shared" si="26"/>
        <v>0.97275160844547</v>
      </c>
      <c r="K53" s="55">
        <f t="shared" si="26"/>
        <v>0.999593047982555</v>
      </c>
      <c r="L53" s="55">
        <f t="shared" si="26"/>
        <v>0.9999988445427717</v>
      </c>
      <c r="M53" s="55">
        <f t="shared" si="26"/>
        <v>1</v>
      </c>
      <c r="N53" s="55">
        <f t="shared" si="26"/>
        <v>1</v>
      </c>
      <c r="O53" s="55">
        <f t="shared" si="26"/>
        <v>1</v>
      </c>
      <c r="P53" s="55">
        <f t="shared" si="26"/>
        <v>1</v>
      </c>
      <c r="Q53" s="11"/>
      <c r="R53" s="11"/>
      <c r="S53" s="11"/>
      <c r="T53" s="11"/>
      <c r="U53" s="11"/>
      <c r="V53" s="11"/>
      <c r="W53" s="11"/>
    </row>
    <row r="54" spans="1:23" ht="12" hidden="1">
      <c r="A54" s="55" t="s">
        <v>62</v>
      </c>
      <c r="B54" s="55"/>
      <c r="C54" s="55"/>
      <c r="D54" s="55"/>
      <c r="E54" s="55"/>
      <c r="F54" s="55">
        <f aca="true" t="shared" si="27" ref="F54:P54">IF(F50&gt;3.5,1,IF(F50&gt;=0,ERF(F50),IF(F50&gt;-3.5,-ERF(ABS(F50)),-1)))</f>
        <v>-1</v>
      </c>
      <c r="G54" s="55">
        <f t="shared" si="27"/>
        <v>-1</v>
      </c>
      <c r="H54" s="55">
        <f t="shared" si="27"/>
        <v>-1</v>
      </c>
      <c r="I54" s="55">
        <f t="shared" si="27"/>
        <v>-1</v>
      </c>
      <c r="J54" s="55">
        <f t="shared" si="27"/>
        <v>-0.9999988445427717</v>
      </c>
      <c r="K54" s="55">
        <f t="shared" si="27"/>
        <v>-0.999593047982555</v>
      </c>
      <c r="L54" s="55">
        <f t="shared" si="27"/>
        <v>-0.97275160844547</v>
      </c>
      <c r="M54" s="55">
        <f t="shared" si="27"/>
        <v>-0.6213291518057229</v>
      </c>
      <c r="N54" s="55">
        <f t="shared" si="27"/>
        <v>0.3453018547117728</v>
      </c>
      <c r="O54" s="55">
        <f t="shared" si="27"/>
        <v>0.9240753635215959</v>
      </c>
      <c r="P54" s="55">
        <f t="shared" si="27"/>
        <v>0.9980806171492725</v>
      </c>
      <c r="Q54" s="11"/>
      <c r="R54" s="11"/>
      <c r="S54" s="11"/>
      <c r="T54" s="11"/>
      <c r="U54" s="11"/>
      <c r="V54" s="11"/>
      <c r="W54" s="11"/>
    </row>
    <row r="55" spans="1:23" ht="12" hidden="1">
      <c r="A55" s="55" t="s">
        <v>63</v>
      </c>
      <c r="B55" s="55"/>
      <c r="C55" s="55"/>
      <c r="D55" s="55"/>
      <c r="E55" s="55"/>
      <c r="F55" s="55">
        <f aca="true" t="shared" si="28" ref="F55:P55">IF(F51&gt;3.5,1,IF(F51&gt;=0,ERF(F51),IF(F51&gt;-3.5,-ERF(ABS(F51)),-1)))</f>
        <v>1</v>
      </c>
      <c r="G55" s="55">
        <f t="shared" si="28"/>
        <v>1</v>
      </c>
      <c r="H55" s="55">
        <f t="shared" si="28"/>
        <v>1</v>
      </c>
      <c r="I55" s="55">
        <f t="shared" si="28"/>
        <v>1</v>
      </c>
      <c r="J55" s="55">
        <f t="shared" si="28"/>
        <v>1</v>
      </c>
      <c r="K55" s="55">
        <f t="shared" si="28"/>
        <v>1</v>
      </c>
      <c r="L55" s="55">
        <f t="shared" si="28"/>
        <v>1</v>
      </c>
      <c r="M55" s="55">
        <f t="shared" si="28"/>
        <v>1</v>
      </c>
      <c r="N55" s="55">
        <f t="shared" si="28"/>
        <v>1</v>
      </c>
      <c r="O55" s="55">
        <f t="shared" si="28"/>
        <v>1</v>
      </c>
      <c r="P55" s="55">
        <f t="shared" si="28"/>
        <v>1</v>
      </c>
      <c r="Q55" s="11"/>
      <c r="R55" s="11"/>
      <c r="S55" s="11"/>
      <c r="T55" s="11"/>
      <c r="U55" s="11"/>
      <c r="V55" s="11"/>
      <c r="W55" s="11"/>
    </row>
    <row r="56" spans="1:23" ht="12" hidden="1">
      <c r="A56" s="55" t="s">
        <v>64</v>
      </c>
      <c r="B56" s="55"/>
      <c r="C56" s="55"/>
      <c r="D56" s="55"/>
      <c r="E56" s="55"/>
      <c r="F56" s="55">
        <f aca="true" t="shared" si="29" ref="F56:P56">IF(F52&gt;3.5,1,IF(F52&gt;=0,ERF(F52),IF(F52&gt;-3.5,-ERF(ABS(F52)),-1)))</f>
        <v>-1</v>
      </c>
      <c r="G56" s="55">
        <f t="shared" si="29"/>
        <v>-1</v>
      </c>
      <c r="H56" s="55">
        <f t="shared" si="29"/>
        <v>-1</v>
      </c>
      <c r="I56" s="55">
        <f t="shared" si="29"/>
        <v>-1</v>
      </c>
      <c r="J56" s="55">
        <f t="shared" si="29"/>
        <v>-1</v>
      </c>
      <c r="K56" s="55">
        <f t="shared" si="29"/>
        <v>-1</v>
      </c>
      <c r="L56" s="55">
        <f t="shared" si="29"/>
        <v>-1</v>
      </c>
      <c r="M56" s="55">
        <f t="shared" si="29"/>
        <v>-1</v>
      </c>
      <c r="N56" s="55">
        <f t="shared" si="29"/>
        <v>-1</v>
      </c>
      <c r="O56" s="55">
        <f t="shared" si="29"/>
        <v>-1</v>
      </c>
      <c r="P56" s="55">
        <f t="shared" si="29"/>
        <v>-1</v>
      </c>
      <c r="Q56" s="11"/>
      <c r="R56" s="11"/>
      <c r="S56" s="11"/>
      <c r="T56" s="11"/>
      <c r="U56" s="11"/>
      <c r="V56" s="11"/>
      <c r="W56" s="11"/>
    </row>
    <row r="57" spans="1:33" ht="12" hidden="1">
      <c r="A57" s="11"/>
      <c r="B57" s="11" t="s">
        <v>65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t="s">
        <v>66</v>
      </c>
      <c r="AG57" t="s">
        <v>67</v>
      </c>
    </row>
    <row r="58" spans="1:23" ht="12" hidden="1">
      <c r="A58" s="55" t="s">
        <v>45</v>
      </c>
      <c r="B58" s="55"/>
      <c r="C58" s="55"/>
      <c r="D58" s="55"/>
      <c r="E58" s="55"/>
      <c r="F58" s="55">
        <f aca="true" t="shared" si="30" ref="F58:P58">$C$21/(2*$B$9)</f>
        <v>2.5</v>
      </c>
      <c r="G58" s="55">
        <f t="shared" si="30"/>
        <v>2.5</v>
      </c>
      <c r="H58" s="55">
        <f t="shared" si="30"/>
        <v>2.5</v>
      </c>
      <c r="I58" s="55">
        <f t="shared" si="30"/>
        <v>2.5</v>
      </c>
      <c r="J58" s="55">
        <f t="shared" si="30"/>
        <v>2.5</v>
      </c>
      <c r="K58" s="55">
        <f t="shared" si="30"/>
        <v>2.5</v>
      </c>
      <c r="L58" s="55">
        <f t="shared" si="30"/>
        <v>2.5</v>
      </c>
      <c r="M58" s="55">
        <f t="shared" si="30"/>
        <v>2.5</v>
      </c>
      <c r="N58" s="55">
        <f t="shared" si="30"/>
        <v>2.5</v>
      </c>
      <c r="O58" s="55">
        <f t="shared" si="30"/>
        <v>2.5</v>
      </c>
      <c r="P58" s="55">
        <f t="shared" si="30"/>
        <v>2.5</v>
      </c>
      <c r="Q58" s="55"/>
      <c r="R58" s="11"/>
      <c r="S58" s="11"/>
      <c r="T58" s="11"/>
      <c r="U58" s="11"/>
      <c r="V58" s="56"/>
      <c r="W58" s="11"/>
    </row>
    <row r="59" spans="1:23" ht="12" hidden="1">
      <c r="A59" s="55" t="s">
        <v>46</v>
      </c>
      <c r="B59" s="55"/>
      <c r="C59" s="55"/>
      <c r="D59" s="55"/>
      <c r="E59" s="55"/>
      <c r="F59" s="55">
        <f aca="true" t="shared" si="31" ref="F59:P59">1-(SQRT(1+(4*$E$9*$B$9)/$H$14))</f>
        <v>-0.5880806024884253</v>
      </c>
      <c r="G59" s="55">
        <f t="shared" si="31"/>
        <v>-0.5880806024884253</v>
      </c>
      <c r="H59" s="55">
        <f t="shared" si="31"/>
        <v>-0.5880806024884253</v>
      </c>
      <c r="I59" s="55">
        <f t="shared" si="31"/>
        <v>-0.5880806024884253</v>
      </c>
      <c r="J59" s="55">
        <f t="shared" si="31"/>
        <v>-0.5880806024884253</v>
      </c>
      <c r="K59" s="55">
        <f t="shared" si="31"/>
        <v>-0.5880806024884253</v>
      </c>
      <c r="L59" s="55">
        <f t="shared" si="31"/>
        <v>-0.5880806024884253</v>
      </c>
      <c r="M59" s="55">
        <f t="shared" si="31"/>
        <v>-0.5880806024884253</v>
      </c>
      <c r="N59" s="55">
        <f t="shared" si="31"/>
        <v>-0.5880806024884253</v>
      </c>
      <c r="O59" s="55">
        <f t="shared" si="31"/>
        <v>-0.5880806024884253</v>
      </c>
      <c r="P59" s="55">
        <f t="shared" si="31"/>
        <v>-0.5880806024884253</v>
      </c>
      <c r="Q59" s="55"/>
      <c r="R59" s="11"/>
      <c r="S59" s="11"/>
      <c r="T59" s="11"/>
      <c r="U59" s="11"/>
      <c r="V59" s="56"/>
      <c r="W59" s="11"/>
    </row>
    <row r="60" spans="1:42" ht="12" hidden="1">
      <c r="A60" s="55" t="s">
        <v>47</v>
      </c>
      <c r="B60" s="55"/>
      <c r="C60" s="55"/>
      <c r="D60" s="55" t="s">
        <v>48</v>
      </c>
      <c r="E60" s="55"/>
      <c r="F60" s="55">
        <f aca="true" t="shared" si="32" ref="F60:P60">EXP(F58*F59)</f>
        <v>0.22987915843879847</v>
      </c>
      <c r="G60" s="55">
        <f t="shared" si="32"/>
        <v>0.22987915843879847</v>
      </c>
      <c r="H60" s="55">
        <f t="shared" si="32"/>
        <v>0.22987915843879847</v>
      </c>
      <c r="I60" s="55">
        <f t="shared" si="32"/>
        <v>0.22987915843879847</v>
      </c>
      <c r="J60" s="55">
        <f t="shared" si="32"/>
        <v>0.22987915843879847</v>
      </c>
      <c r="K60" s="55">
        <f t="shared" si="32"/>
        <v>0.22987915843879847</v>
      </c>
      <c r="L60" s="55">
        <f t="shared" si="32"/>
        <v>0.22987915843879847</v>
      </c>
      <c r="M60" s="55">
        <f t="shared" si="32"/>
        <v>0.22987915843879847</v>
      </c>
      <c r="N60" s="55">
        <f t="shared" si="32"/>
        <v>0.22987915843879847</v>
      </c>
      <c r="O60" s="55">
        <f t="shared" si="32"/>
        <v>0.22987915843879847</v>
      </c>
      <c r="P60" s="55">
        <f t="shared" si="32"/>
        <v>0.22987915843879847</v>
      </c>
      <c r="Q60" s="55"/>
      <c r="R60" s="55"/>
      <c r="S60" s="55"/>
      <c r="T60" s="55"/>
      <c r="U60" s="55"/>
      <c r="V60" s="55"/>
      <c r="W60" s="55"/>
      <c r="X60" s="1"/>
      <c r="Y60" s="1"/>
      <c r="Z60" s="1"/>
      <c r="AA60" s="1"/>
      <c r="AB60" s="1"/>
      <c r="AC60" s="1"/>
      <c r="AD60" s="1"/>
      <c r="AE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 hidden="1">
      <c r="A61" s="55" t="s">
        <v>49</v>
      </c>
      <c r="B61" s="55"/>
      <c r="C61" s="55"/>
      <c r="D61" s="55"/>
      <c r="E61" s="55"/>
      <c r="F61" s="55">
        <f aca="true" t="shared" si="33" ref="F61:P61">$H$14*$H$9</f>
        <v>4.204993429697766E+97</v>
      </c>
      <c r="G61" s="55">
        <f t="shared" si="33"/>
        <v>4.204993429697766E+97</v>
      </c>
      <c r="H61" s="55">
        <f t="shared" si="33"/>
        <v>4.204993429697766E+97</v>
      </c>
      <c r="I61" s="55">
        <f t="shared" si="33"/>
        <v>4.204993429697766E+97</v>
      </c>
      <c r="J61" s="55">
        <f t="shared" si="33"/>
        <v>4.204993429697766E+97</v>
      </c>
      <c r="K61" s="55">
        <f t="shared" si="33"/>
        <v>4.204993429697766E+97</v>
      </c>
      <c r="L61" s="55">
        <f t="shared" si="33"/>
        <v>4.204993429697766E+97</v>
      </c>
      <c r="M61" s="55">
        <f t="shared" si="33"/>
        <v>4.204993429697766E+97</v>
      </c>
      <c r="N61" s="55">
        <f t="shared" si="33"/>
        <v>4.204993429697766E+97</v>
      </c>
      <c r="O61" s="55">
        <f t="shared" si="33"/>
        <v>4.204993429697766E+97</v>
      </c>
      <c r="P61" s="55">
        <f t="shared" si="33"/>
        <v>4.204993429697766E+97</v>
      </c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1"/>
      <c r="AB61" s="1"/>
      <c r="AC61" s="1"/>
      <c r="AD61" s="1"/>
      <c r="AE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 hidden="1">
      <c r="A62" s="55" t="s">
        <v>50</v>
      </c>
      <c r="B62" s="55"/>
      <c r="C62" s="55"/>
      <c r="D62" s="55"/>
      <c r="E62" s="55"/>
      <c r="F62" s="55">
        <f aca="true" t="shared" si="34" ref="F62:P62">SQRT(1+(4*$E$9*$B$9/$H$14))</f>
        <v>1.5880806024884253</v>
      </c>
      <c r="G62" s="55">
        <f t="shared" si="34"/>
        <v>1.5880806024884253</v>
      </c>
      <c r="H62" s="55">
        <f t="shared" si="34"/>
        <v>1.5880806024884253</v>
      </c>
      <c r="I62" s="55">
        <f t="shared" si="34"/>
        <v>1.5880806024884253</v>
      </c>
      <c r="J62" s="55">
        <f t="shared" si="34"/>
        <v>1.5880806024884253</v>
      </c>
      <c r="K62" s="55">
        <f t="shared" si="34"/>
        <v>1.5880806024884253</v>
      </c>
      <c r="L62" s="55">
        <f t="shared" si="34"/>
        <v>1.5880806024884253</v>
      </c>
      <c r="M62" s="55">
        <f t="shared" si="34"/>
        <v>1.5880806024884253</v>
      </c>
      <c r="N62" s="55">
        <f t="shared" si="34"/>
        <v>1.5880806024884253</v>
      </c>
      <c r="O62" s="55">
        <f t="shared" si="34"/>
        <v>1.5880806024884253</v>
      </c>
      <c r="P62" s="55">
        <f t="shared" si="34"/>
        <v>1.5880806024884253</v>
      </c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1"/>
      <c r="AB62" s="1"/>
      <c r="AC62" s="1"/>
      <c r="AD62" s="1"/>
      <c r="AE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 hidden="1">
      <c r="A63" s="55" t="s">
        <v>51</v>
      </c>
      <c r="B63" s="55"/>
      <c r="C63" s="55"/>
      <c r="D63" s="55"/>
      <c r="E63" s="55"/>
      <c r="F63" s="55">
        <f aca="true" t="shared" si="35" ref="F63:P63">($C$21-(F61*F62))/F64</f>
        <v>-1.1513575373063837E+48</v>
      </c>
      <c r="G63" s="55">
        <f t="shared" si="35"/>
        <v>-1.1513575373063837E+48</v>
      </c>
      <c r="H63" s="55">
        <f t="shared" si="35"/>
        <v>-1.1513575373063837E+48</v>
      </c>
      <c r="I63" s="55">
        <f t="shared" si="35"/>
        <v>-1.1513575373063837E+48</v>
      </c>
      <c r="J63" s="55">
        <f t="shared" si="35"/>
        <v>-1.1513575373063837E+48</v>
      </c>
      <c r="K63" s="55">
        <f t="shared" si="35"/>
        <v>-1.1513575373063837E+48</v>
      </c>
      <c r="L63" s="55">
        <f t="shared" si="35"/>
        <v>-1.1513575373063837E+48</v>
      </c>
      <c r="M63" s="55">
        <f t="shared" si="35"/>
        <v>-1.1513575373063837E+48</v>
      </c>
      <c r="N63" s="55">
        <f t="shared" si="35"/>
        <v>-1.1513575373063837E+48</v>
      </c>
      <c r="O63" s="55">
        <f t="shared" si="35"/>
        <v>-1.1513575373063837E+48</v>
      </c>
      <c r="P63" s="55">
        <f t="shared" si="35"/>
        <v>-1.1513575373063837E+48</v>
      </c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1"/>
      <c r="AB63" s="1"/>
      <c r="AC63" s="1"/>
      <c r="AD63" s="1"/>
      <c r="AE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 hidden="1">
      <c r="A64" s="55" t="s">
        <v>52</v>
      </c>
      <c r="B64" s="55"/>
      <c r="C64" s="55"/>
      <c r="D64" s="55"/>
      <c r="E64" s="55"/>
      <c r="F64" s="55">
        <f aca="true" t="shared" si="36" ref="F64:P64">2*SQRT($B$9*$H$14*$H$9)</f>
        <v>5.79999546875531E+49</v>
      </c>
      <c r="G64" s="55">
        <f t="shared" si="36"/>
        <v>5.79999546875531E+49</v>
      </c>
      <c r="H64" s="55">
        <f t="shared" si="36"/>
        <v>5.79999546875531E+49</v>
      </c>
      <c r="I64" s="55">
        <f t="shared" si="36"/>
        <v>5.79999546875531E+49</v>
      </c>
      <c r="J64" s="55">
        <f t="shared" si="36"/>
        <v>5.79999546875531E+49</v>
      </c>
      <c r="K64" s="55">
        <f t="shared" si="36"/>
        <v>5.79999546875531E+49</v>
      </c>
      <c r="L64" s="55">
        <f t="shared" si="36"/>
        <v>5.79999546875531E+49</v>
      </c>
      <c r="M64" s="55">
        <f t="shared" si="36"/>
        <v>5.79999546875531E+49</v>
      </c>
      <c r="N64" s="55">
        <f t="shared" si="36"/>
        <v>5.79999546875531E+49</v>
      </c>
      <c r="O64" s="55">
        <f t="shared" si="36"/>
        <v>5.79999546875531E+49</v>
      </c>
      <c r="P64" s="55">
        <f t="shared" si="36"/>
        <v>5.79999546875531E+49</v>
      </c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1"/>
      <c r="AB64" s="1"/>
      <c r="AC64" s="1"/>
      <c r="AD64" s="1"/>
      <c r="AE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 hidden="1">
      <c r="A65" s="55" t="s">
        <v>53</v>
      </c>
      <c r="B65" s="55"/>
      <c r="C65" s="55"/>
      <c r="D65" s="55"/>
      <c r="E65" s="55"/>
      <c r="F65" s="55">
        <f aca="true" t="shared" si="37" ref="F65:P65">(F62*F63)/F64</f>
        <v>-0.031525</v>
      </c>
      <c r="G65" s="55">
        <f t="shared" si="37"/>
        <v>-0.031525</v>
      </c>
      <c r="H65" s="55">
        <f t="shared" si="37"/>
        <v>-0.031525</v>
      </c>
      <c r="I65" s="55">
        <f t="shared" si="37"/>
        <v>-0.031525</v>
      </c>
      <c r="J65" s="55">
        <f t="shared" si="37"/>
        <v>-0.031525</v>
      </c>
      <c r="K65" s="55">
        <f t="shared" si="37"/>
        <v>-0.031525</v>
      </c>
      <c r="L65" s="55">
        <f t="shared" si="37"/>
        <v>-0.031525</v>
      </c>
      <c r="M65" s="55">
        <f t="shared" si="37"/>
        <v>-0.031525</v>
      </c>
      <c r="N65" s="55">
        <f t="shared" si="37"/>
        <v>-0.031525</v>
      </c>
      <c r="O65" s="55">
        <f t="shared" si="37"/>
        <v>-0.031525</v>
      </c>
      <c r="P65" s="55">
        <f t="shared" si="37"/>
        <v>-0.031525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1"/>
      <c r="AB65" s="1"/>
      <c r="AC65" s="1"/>
      <c r="AD65" s="1"/>
      <c r="AE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 hidden="1">
      <c r="A66" s="55" t="s">
        <v>54</v>
      </c>
      <c r="B66" s="55"/>
      <c r="C66" s="55"/>
      <c r="D66" s="55"/>
      <c r="E66" s="55"/>
      <c r="F66" s="55">
        <f aca="true" t="shared" si="38" ref="F66:P66">IF(F63&gt;10,0,IF(F63&gt;=0,ERFC(F63),IF(F63&lt;-3.75,2,1+ERF(ABS(F63)))))</f>
        <v>2</v>
      </c>
      <c r="G66" s="55">
        <f t="shared" si="38"/>
        <v>2</v>
      </c>
      <c r="H66" s="55">
        <f t="shared" si="38"/>
        <v>2</v>
      </c>
      <c r="I66" s="55">
        <f t="shared" si="38"/>
        <v>2</v>
      </c>
      <c r="J66" s="55">
        <f t="shared" si="38"/>
        <v>2</v>
      </c>
      <c r="K66" s="55">
        <f t="shared" si="38"/>
        <v>2</v>
      </c>
      <c r="L66" s="55">
        <f t="shared" si="38"/>
        <v>2</v>
      </c>
      <c r="M66" s="55">
        <f t="shared" si="38"/>
        <v>2</v>
      </c>
      <c r="N66" s="55">
        <f t="shared" si="38"/>
        <v>2</v>
      </c>
      <c r="O66" s="55">
        <f t="shared" si="38"/>
        <v>2</v>
      </c>
      <c r="P66" s="55">
        <f t="shared" si="38"/>
        <v>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1"/>
      <c r="AB66" s="1"/>
      <c r="AC66" s="1"/>
      <c r="AD66" s="1"/>
      <c r="AE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 hidden="1">
      <c r="A67" s="55" t="s">
        <v>55</v>
      </c>
      <c r="B67" s="55"/>
      <c r="C67" s="55"/>
      <c r="D67" s="55"/>
      <c r="E67" s="55"/>
      <c r="F67" s="55">
        <f aca="true" t="shared" si="39" ref="F67:P67">2*SQRT($C$9*$C$21)</f>
        <v>20</v>
      </c>
      <c r="G67" s="55">
        <f t="shared" si="39"/>
        <v>20</v>
      </c>
      <c r="H67" s="55">
        <f t="shared" si="39"/>
        <v>20</v>
      </c>
      <c r="I67" s="55">
        <f t="shared" si="39"/>
        <v>20</v>
      </c>
      <c r="J67" s="55">
        <f t="shared" si="39"/>
        <v>20</v>
      </c>
      <c r="K67" s="55">
        <f t="shared" si="39"/>
        <v>20</v>
      </c>
      <c r="L67" s="55">
        <f t="shared" si="39"/>
        <v>20</v>
      </c>
      <c r="M67" s="55">
        <f t="shared" si="39"/>
        <v>20</v>
      </c>
      <c r="N67" s="55">
        <f t="shared" si="39"/>
        <v>20</v>
      </c>
      <c r="O67" s="55">
        <f t="shared" si="39"/>
        <v>20</v>
      </c>
      <c r="P67" s="55">
        <f t="shared" si="39"/>
        <v>20</v>
      </c>
      <c r="Q67" s="55"/>
      <c r="R67" s="55"/>
      <c r="S67" s="55"/>
      <c r="T67" s="55"/>
      <c r="U67" s="55"/>
      <c r="V67" s="55"/>
      <c r="W67" s="55"/>
      <c r="X67" s="1"/>
      <c r="Y67" s="1"/>
      <c r="Z67" s="1"/>
      <c r="AA67" s="1"/>
      <c r="AB67" s="1"/>
      <c r="AC67" s="1"/>
      <c r="AD67" s="1"/>
      <c r="AE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 hidden="1">
      <c r="A68" s="55" t="s">
        <v>56</v>
      </c>
      <c r="B68" s="55"/>
      <c r="C68" s="55"/>
      <c r="D68" s="55"/>
      <c r="E68" s="55"/>
      <c r="F68" s="55">
        <f aca="true" t="shared" si="40" ref="F68:P68">2*SQRT($D$9*$C$21)</f>
        <v>0.2</v>
      </c>
      <c r="G68" s="55">
        <f t="shared" si="40"/>
        <v>0.2</v>
      </c>
      <c r="H68" s="55">
        <f t="shared" si="40"/>
        <v>0.2</v>
      </c>
      <c r="I68" s="55">
        <f t="shared" si="40"/>
        <v>0.2</v>
      </c>
      <c r="J68" s="55">
        <f t="shared" si="40"/>
        <v>0.2</v>
      </c>
      <c r="K68" s="55">
        <f t="shared" si="40"/>
        <v>0.2</v>
      </c>
      <c r="L68" s="55">
        <f t="shared" si="40"/>
        <v>0.2</v>
      </c>
      <c r="M68" s="55">
        <f t="shared" si="40"/>
        <v>0.2</v>
      </c>
      <c r="N68" s="55">
        <f t="shared" si="40"/>
        <v>0.2</v>
      </c>
      <c r="O68" s="55">
        <f t="shared" si="40"/>
        <v>0.2</v>
      </c>
      <c r="P68" s="55">
        <f t="shared" si="40"/>
        <v>0.2</v>
      </c>
      <c r="Q68" s="55"/>
      <c r="R68" s="55"/>
      <c r="S68" s="55"/>
      <c r="T68" s="55"/>
      <c r="U68" s="55"/>
      <c r="V68" s="55"/>
      <c r="W68" s="55"/>
      <c r="X68" s="1"/>
      <c r="Y68" s="1"/>
      <c r="Z68" s="1"/>
      <c r="AA68" s="1"/>
      <c r="AB68" s="1"/>
      <c r="AC68" s="1"/>
      <c r="AD68" s="1"/>
      <c r="AE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 hidden="1">
      <c r="A69" s="55" t="s">
        <v>57</v>
      </c>
      <c r="B69" s="55"/>
      <c r="C69" s="55"/>
      <c r="D69" s="55"/>
      <c r="E69" s="55"/>
      <c r="F69" s="55">
        <f aca="true" t="shared" si="41" ref="F69:P69">((E$16+($F$9/2))/F67)</f>
        <v>-2.19375</v>
      </c>
      <c r="G69" s="55">
        <f t="shared" si="41"/>
        <v>-1.2550000000000003</v>
      </c>
      <c r="H69" s="55">
        <f t="shared" si="41"/>
        <v>-0.3162499999999998</v>
      </c>
      <c r="I69" s="55">
        <f t="shared" si="41"/>
        <v>0.6224999999999998</v>
      </c>
      <c r="J69" s="55">
        <f t="shared" si="41"/>
        <v>1.5612499999999998</v>
      </c>
      <c r="K69" s="55">
        <f t="shared" si="41"/>
        <v>2.5</v>
      </c>
      <c r="L69" s="55">
        <f t="shared" si="41"/>
        <v>3.43875</v>
      </c>
      <c r="M69" s="55">
        <f t="shared" si="41"/>
        <v>4.3775</v>
      </c>
      <c r="N69" s="55">
        <f t="shared" si="41"/>
        <v>5.316249999999999</v>
      </c>
      <c r="O69" s="55">
        <f t="shared" si="41"/>
        <v>6.255000000000001</v>
      </c>
      <c r="P69" s="55">
        <f t="shared" si="41"/>
        <v>7.19375</v>
      </c>
      <c r="Q69" s="55"/>
      <c r="R69" s="55"/>
      <c r="S69" s="55"/>
      <c r="T69" s="55"/>
      <c r="U69" s="55"/>
      <c r="V69" s="55"/>
      <c r="W69" s="55"/>
      <c r="X69" s="1"/>
      <c r="Y69" s="1"/>
      <c r="Z69" s="1"/>
      <c r="AA69" s="1"/>
      <c r="AB69" s="1"/>
      <c r="AC69" s="1"/>
      <c r="AD69" s="1"/>
      <c r="AE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 hidden="1">
      <c r="A70" s="55" t="s">
        <v>58</v>
      </c>
      <c r="B70" s="55"/>
      <c r="C70" s="55"/>
      <c r="D70" s="55"/>
      <c r="E70" s="55"/>
      <c r="F70" s="55">
        <f aca="true" t="shared" si="42" ref="F70:P70">((E$16-($F$9/2))/F67)</f>
        <v>-7.19375</v>
      </c>
      <c r="G70" s="55">
        <f t="shared" si="42"/>
        <v>-6.255000000000001</v>
      </c>
      <c r="H70" s="55">
        <f t="shared" si="42"/>
        <v>-5.316249999999999</v>
      </c>
      <c r="I70" s="55">
        <f t="shared" si="42"/>
        <v>-4.3775</v>
      </c>
      <c r="J70" s="55">
        <f t="shared" si="42"/>
        <v>-3.43875</v>
      </c>
      <c r="K70" s="55">
        <f t="shared" si="42"/>
        <v>-2.5</v>
      </c>
      <c r="L70" s="55">
        <f t="shared" si="42"/>
        <v>-1.5612499999999998</v>
      </c>
      <c r="M70" s="55">
        <f t="shared" si="42"/>
        <v>-0.6224999999999998</v>
      </c>
      <c r="N70" s="55">
        <f t="shared" si="42"/>
        <v>0.3162499999999998</v>
      </c>
      <c r="O70" s="55">
        <f t="shared" si="42"/>
        <v>1.2550000000000003</v>
      </c>
      <c r="P70" s="55">
        <f t="shared" si="42"/>
        <v>2.19375</v>
      </c>
      <c r="Q70" s="55"/>
      <c r="R70" s="55"/>
      <c r="S70" s="55"/>
      <c r="T70" s="55"/>
      <c r="U70" s="55"/>
      <c r="V70" s="55"/>
      <c r="W70" s="55"/>
      <c r="X70" s="1"/>
      <c r="Y70" s="1"/>
      <c r="Z70" s="1"/>
      <c r="AA70" s="1"/>
      <c r="AB70" s="1"/>
      <c r="AC70" s="1"/>
      <c r="AD70" s="1"/>
      <c r="AE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 hidden="1">
      <c r="A71" s="55" t="s">
        <v>59</v>
      </c>
      <c r="B71" s="55"/>
      <c r="C71" s="55"/>
      <c r="D71" s="55"/>
      <c r="E71" s="55"/>
      <c r="F71" s="55">
        <f aca="true" t="shared" si="43" ref="F71:P71">($D$18+$G$9)/F68</f>
        <v>44.78099999999999</v>
      </c>
      <c r="G71" s="55">
        <f t="shared" si="43"/>
        <v>44.78099999999999</v>
      </c>
      <c r="H71" s="55">
        <f t="shared" si="43"/>
        <v>44.78099999999999</v>
      </c>
      <c r="I71" s="55">
        <f t="shared" si="43"/>
        <v>44.78099999999999</v>
      </c>
      <c r="J71" s="55">
        <f t="shared" si="43"/>
        <v>44.78099999999999</v>
      </c>
      <c r="K71" s="55">
        <f t="shared" si="43"/>
        <v>44.78099999999999</v>
      </c>
      <c r="L71" s="55">
        <f t="shared" si="43"/>
        <v>44.78099999999999</v>
      </c>
      <c r="M71" s="55">
        <f t="shared" si="43"/>
        <v>44.78099999999999</v>
      </c>
      <c r="N71" s="55">
        <f t="shared" si="43"/>
        <v>44.78099999999999</v>
      </c>
      <c r="O71" s="55">
        <f t="shared" si="43"/>
        <v>44.78099999999999</v>
      </c>
      <c r="P71" s="55">
        <f t="shared" si="43"/>
        <v>44.78099999999999</v>
      </c>
      <c r="Q71" s="55"/>
      <c r="R71" s="55"/>
      <c r="S71" s="55"/>
      <c r="T71" s="55"/>
      <c r="U71" s="55"/>
      <c r="V71" s="55"/>
      <c r="W71" s="55"/>
      <c r="X71" s="1"/>
      <c r="Y71" s="1"/>
      <c r="Z71" s="1"/>
      <c r="AA71" s="1"/>
      <c r="AB71" s="1"/>
      <c r="AC71" s="1"/>
      <c r="AD71" s="1"/>
      <c r="AE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 hidden="1">
      <c r="A72" s="55" t="s">
        <v>60</v>
      </c>
      <c r="B72" s="55"/>
      <c r="C72" s="55"/>
      <c r="D72" s="55"/>
      <c r="E72" s="55"/>
      <c r="F72" s="55">
        <f aca="true" t="shared" si="44" ref="F72:P72">($D$18-$G$9)/F68</f>
        <v>-55.219</v>
      </c>
      <c r="G72" s="55">
        <f t="shared" si="44"/>
        <v>-55.219</v>
      </c>
      <c r="H72" s="55">
        <f t="shared" si="44"/>
        <v>-55.219</v>
      </c>
      <c r="I72" s="55">
        <f t="shared" si="44"/>
        <v>-55.219</v>
      </c>
      <c r="J72" s="55">
        <f t="shared" si="44"/>
        <v>-55.219</v>
      </c>
      <c r="K72" s="55">
        <f t="shared" si="44"/>
        <v>-55.219</v>
      </c>
      <c r="L72" s="55">
        <f t="shared" si="44"/>
        <v>-55.219</v>
      </c>
      <c r="M72" s="55">
        <f t="shared" si="44"/>
        <v>-55.219</v>
      </c>
      <c r="N72" s="55">
        <f t="shared" si="44"/>
        <v>-55.219</v>
      </c>
      <c r="O72" s="55">
        <f t="shared" si="44"/>
        <v>-55.219</v>
      </c>
      <c r="P72" s="55">
        <f t="shared" si="44"/>
        <v>-55.219</v>
      </c>
      <c r="Q72" s="55"/>
      <c r="R72" s="55"/>
      <c r="S72" s="55"/>
      <c r="T72" s="55"/>
      <c r="U72" s="55"/>
      <c r="V72" s="55"/>
      <c r="W72" s="55"/>
      <c r="X72" s="1"/>
      <c r="Y72" s="1"/>
      <c r="Z72" s="1"/>
      <c r="AA72" s="1"/>
      <c r="AB72" s="1"/>
      <c r="AC72" s="1"/>
      <c r="AD72" s="1"/>
      <c r="AE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 hidden="1">
      <c r="A73" s="55" t="s">
        <v>61</v>
      </c>
      <c r="B73" s="55"/>
      <c r="C73" s="55"/>
      <c r="D73" s="55"/>
      <c r="E73" s="55"/>
      <c r="F73" s="55">
        <f aca="true" t="shared" si="45" ref="F73:P73">IF(F69&gt;3.5,1,IF(F69&gt;=0,ERF(F69),IF(F69&gt;-3.5,-ERF(ABS(F69)),-1)))</f>
        <v>-0.9980806171492725</v>
      </c>
      <c r="G73" s="55">
        <f t="shared" si="45"/>
        <v>-0.9240753635215959</v>
      </c>
      <c r="H73" s="55">
        <f t="shared" si="45"/>
        <v>-0.3453018547117728</v>
      </c>
      <c r="I73" s="55">
        <f t="shared" si="45"/>
        <v>0.6213291518057229</v>
      </c>
      <c r="J73" s="55">
        <f t="shared" si="45"/>
        <v>0.97275160844547</v>
      </c>
      <c r="K73" s="55">
        <f t="shared" si="45"/>
        <v>0.999593047982555</v>
      </c>
      <c r="L73" s="55">
        <f t="shared" si="45"/>
        <v>0.9999988445427717</v>
      </c>
      <c r="M73" s="55">
        <f t="shared" si="45"/>
        <v>1</v>
      </c>
      <c r="N73" s="55">
        <f t="shared" si="45"/>
        <v>1</v>
      </c>
      <c r="O73" s="55">
        <f t="shared" si="45"/>
        <v>1</v>
      </c>
      <c r="P73" s="55">
        <f t="shared" si="45"/>
        <v>1</v>
      </c>
      <c r="Q73" s="55"/>
      <c r="R73" s="55"/>
      <c r="S73" s="55"/>
      <c r="T73" s="55"/>
      <c r="U73" s="55"/>
      <c r="V73" s="55"/>
      <c r="W73" s="55"/>
      <c r="X73" s="1"/>
      <c r="Y73" s="1"/>
      <c r="Z73" s="1"/>
      <c r="AA73" s="1"/>
      <c r="AB73" s="1"/>
      <c r="AC73" s="1"/>
      <c r="AD73" s="1"/>
      <c r="AE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 hidden="1">
      <c r="A74" s="55" t="s">
        <v>62</v>
      </c>
      <c r="B74" s="55"/>
      <c r="C74" s="55"/>
      <c r="D74" s="55"/>
      <c r="E74" s="55"/>
      <c r="F74" s="55">
        <f aca="true" t="shared" si="46" ref="F74:P74">IF(F70&gt;3.5,1,IF(F70&gt;=0,ERF(F70),IF(F70&gt;-3.5,-ERF(ABS(F70)),-1)))</f>
        <v>-1</v>
      </c>
      <c r="G74" s="55">
        <f t="shared" si="46"/>
        <v>-1</v>
      </c>
      <c r="H74" s="55">
        <f t="shared" si="46"/>
        <v>-1</v>
      </c>
      <c r="I74" s="55">
        <f t="shared" si="46"/>
        <v>-1</v>
      </c>
      <c r="J74" s="55">
        <f t="shared" si="46"/>
        <v>-0.9999988445427717</v>
      </c>
      <c r="K74" s="55">
        <f t="shared" si="46"/>
        <v>-0.999593047982555</v>
      </c>
      <c r="L74" s="55">
        <f t="shared" si="46"/>
        <v>-0.97275160844547</v>
      </c>
      <c r="M74" s="55">
        <f t="shared" si="46"/>
        <v>-0.6213291518057229</v>
      </c>
      <c r="N74" s="55">
        <f t="shared" si="46"/>
        <v>0.3453018547117728</v>
      </c>
      <c r="O74" s="55">
        <f t="shared" si="46"/>
        <v>0.9240753635215959</v>
      </c>
      <c r="P74" s="55">
        <f t="shared" si="46"/>
        <v>0.9980806171492725</v>
      </c>
      <c r="Q74" s="55"/>
      <c r="R74" s="55"/>
      <c r="S74" s="55"/>
      <c r="T74" s="55"/>
      <c r="U74" s="55"/>
      <c r="V74" s="55"/>
      <c r="W74" s="55"/>
      <c r="X74" s="1"/>
      <c r="Y74" s="1"/>
      <c r="Z74" s="1"/>
      <c r="AA74" s="1"/>
      <c r="AB74" s="1"/>
      <c r="AC74" s="1"/>
      <c r="AD74" s="1"/>
      <c r="AE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 hidden="1">
      <c r="A75" s="55" t="s">
        <v>63</v>
      </c>
      <c r="B75" s="55"/>
      <c r="C75" s="55"/>
      <c r="D75" s="55"/>
      <c r="E75" s="55"/>
      <c r="F75" s="55">
        <f aca="true" t="shared" si="47" ref="F75:P75">IF(F71&gt;3.5,1,IF(F71&gt;=0,ERF(F71),IF(F71&gt;-3.5,-ERF(ABS(F71)),-1)))</f>
        <v>1</v>
      </c>
      <c r="G75" s="55">
        <f t="shared" si="47"/>
        <v>1</v>
      </c>
      <c r="H75" s="55">
        <f t="shared" si="47"/>
        <v>1</v>
      </c>
      <c r="I75" s="55">
        <f t="shared" si="47"/>
        <v>1</v>
      </c>
      <c r="J75" s="55">
        <f t="shared" si="47"/>
        <v>1</v>
      </c>
      <c r="K75" s="55">
        <f t="shared" si="47"/>
        <v>1</v>
      </c>
      <c r="L75" s="55">
        <f t="shared" si="47"/>
        <v>1</v>
      </c>
      <c r="M75" s="55">
        <f t="shared" si="47"/>
        <v>1</v>
      </c>
      <c r="N75" s="55">
        <f t="shared" si="47"/>
        <v>1</v>
      </c>
      <c r="O75" s="55">
        <f t="shared" si="47"/>
        <v>1</v>
      </c>
      <c r="P75" s="55">
        <f t="shared" si="47"/>
        <v>1</v>
      </c>
      <c r="Q75" s="55"/>
      <c r="R75" s="55"/>
      <c r="S75" s="55"/>
      <c r="T75" s="55"/>
      <c r="U75" s="55"/>
      <c r="V75" s="55"/>
      <c r="W75" s="55"/>
      <c r="X75" s="1"/>
      <c r="Y75" s="1"/>
      <c r="Z75" s="1"/>
      <c r="AA75" s="1"/>
      <c r="AB75" s="1"/>
      <c r="AC75" s="1"/>
      <c r="AD75" s="1"/>
      <c r="AE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 hidden="1">
      <c r="A76" s="55" t="s">
        <v>64</v>
      </c>
      <c r="B76" s="55"/>
      <c r="C76" s="55"/>
      <c r="D76" s="55"/>
      <c r="E76" s="55"/>
      <c r="F76" s="55">
        <f aca="true" t="shared" si="48" ref="F76:P76">IF(F72&gt;3.5,1,IF(F72&gt;=0,ERF(F72),IF(F72&gt;-3.5,-ERF(ABS(F72)),-1)))</f>
        <v>-1</v>
      </c>
      <c r="G76" s="55">
        <f t="shared" si="48"/>
        <v>-1</v>
      </c>
      <c r="H76" s="55">
        <f t="shared" si="48"/>
        <v>-1</v>
      </c>
      <c r="I76" s="55">
        <f t="shared" si="48"/>
        <v>-1</v>
      </c>
      <c r="J76" s="55">
        <f t="shared" si="48"/>
        <v>-1</v>
      </c>
      <c r="K76" s="55">
        <f t="shared" si="48"/>
        <v>-1</v>
      </c>
      <c r="L76" s="55">
        <f t="shared" si="48"/>
        <v>-1</v>
      </c>
      <c r="M76" s="55">
        <f t="shared" si="48"/>
        <v>-1</v>
      </c>
      <c r="N76" s="55">
        <f t="shared" si="48"/>
        <v>-1</v>
      </c>
      <c r="O76" s="55">
        <f t="shared" si="48"/>
        <v>-1</v>
      </c>
      <c r="P76" s="55">
        <f t="shared" si="48"/>
        <v>-1</v>
      </c>
      <c r="Q76" s="55"/>
      <c r="R76" s="55"/>
      <c r="S76" s="55"/>
      <c r="T76" s="55"/>
      <c r="U76" s="55"/>
      <c r="V76" s="55"/>
      <c r="W76" s="55"/>
      <c r="X76" s="1"/>
      <c r="Y76" s="1"/>
      <c r="Z76" s="1"/>
      <c r="AA76" s="1"/>
      <c r="AB76" s="1"/>
      <c r="AC76" s="1"/>
      <c r="AD76" s="1"/>
      <c r="AE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 hidden="1">
      <c r="A77" s="11" t="s">
        <v>68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55"/>
      <c r="S77" s="55"/>
      <c r="T77" s="55"/>
      <c r="U77" s="55"/>
      <c r="V77" s="55"/>
      <c r="W77" s="55"/>
      <c r="X77" s="1"/>
      <c r="Y77" s="1"/>
      <c r="Z77" s="1"/>
      <c r="AA77" s="1"/>
      <c r="AB77" s="1"/>
      <c r="AC77" s="1"/>
      <c r="AD77" s="1"/>
      <c r="AE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 hidden="1">
      <c r="A78" s="55" t="s">
        <v>45</v>
      </c>
      <c r="B78" s="55"/>
      <c r="C78" s="55"/>
      <c r="D78" s="55"/>
      <c r="E78" s="55"/>
      <c r="F78" s="55">
        <f aca="true" t="shared" si="49" ref="F78:P78">$C$21/(2*$B$9)</f>
        <v>2.5</v>
      </c>
      <c r="G78" s="55">
        <f t="shared" si="49"/>
        <v>2.5</v>
      </c>
      <c r="H78" s="55">
        <f t="shared" si="49"/>
        <v>2.5</v>
      </c>
      <c r="I78" s="55">
        <f t="shared" si="49"/>
        <v>2.5</v>
      </c>
      <c r="J78" s="55">
        <f t="shared" si="49"/>
        <v>2.5</v>
      </c>
      <c r="K78" s="55">
        <f t="shared" si="49"/>
        <v>2.5</v>
      </c>
      <c r="L78" s="55">
        <f t="shared" si="49"/>
        <v>2.5</v>
      </c>
      <c r="M78" s="55">
        <f t="shared" si="49"/>
        <v>2.5</v>
      </c>
      <c r="N78" s="55">
        <f t="shared" si="49"/>
        <v>2.5</v>
      </c>
      <c r="O78" s="55">
        <f t="shared" si="49"/>
        <v>2.5</v>
      </c>
      <c r="P78" s="55">
        <f t="shared" si="49"/>
        <v>2.5</v>
      </c>
      <c r="Q78" s="11"/>
      <c r="R78" s="55"/>
      <c r="S78" s="55"/>
      <c r="T78" s="55"/>
      <c r="U78" s="55"/>
      <c r="V78" s="55"/>
      <c r="W78" s="55"/>
      <c r="X78" s="1"/>
      <c r="Y78" s="1"/>
      <c r="Z78" s="1"/>
      <c r="AA78" s="1"/>
      <c r="AB78" s="1"/>
      <c r="AC78" s="1"/>
      <c r="AD78" s="1"/>
      <c r="AE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23" ht="12" hidden="1">
      <c r="A79" s="55" t="s">
        <v>46</v>
      </c>
      <c r="B79" s="55"/>
      <c r="C79" s="55"/>
      <c r="D79" s="55"/>
      <c r="E79" s="55"/>
      <c r="F79" s="55">
        <f aca="true" t="shared" si="50" ref="F79:P79">1-(SQRT(1+(4*$E$9*$B$9)/$H$14))</f>
        <v>-0.5880806024884253</v>
      </c>
      <c r="G79" s="55">
        <f t="shared" si="50"/>
        <v>-0.5880806024884253</v>
      </c>
      <c r="H79" s="55">
        <f t="shared" si="50"/>
        <v>-0.5880806024884253</v>
      </c>
      <c r="I79" s="55">
        <f t="shared" si="50"/>
        <v>-0.5880806024884253</v>
      </c>
      <c r="J79" s="55">
        <f t="shared" si="50"/>
        <v>-0.5880806024884253</v>
      </c>
      <c r="K79" s="55">
        <f t="shared" si="50"/>
        <v>-0.5880806024884253</v>
      </c>
      <c r="L79" s="55">
        <f t="shared" si="50"/>
        <v>-0.5880806024884253</v>
      </c>
      <c r="M79" s="55">
        <f t="shared" si="50"/>
        <v>-0.5880806024884253</v>
      </c>
      <c r="N79" s="55">
        <f t="shared" si="50"/>
        <v>-0.5880806024884253</v>
      </c>
      <c r="O79" s="55">
        <f t="shared" si="50"/>
        <v>-0.5880806024884253</v>
      </c>
      <c r="P79" s="55">
        <f t="shared" si="50"/>
        <v>-0.5880806024884253</v>
      </c>
      <c r="Q79" s="11"/>
      <c r="R79" s="55"/>
      <c r="S79" s="55"/>
      <c r="T79" s="55"/>
      <c r="U79" s="11"/>
      <c r="V79" s="11"/>
      <c r="W79" s="55"/>
    </row>
    <row r="80" spans="1:23" ht="12" hidden="1">
      <c r="A80" s="55" t="s">
        <v>47</v>
      </c>
      <c r="B80" s="55"/>
      <c r="C80" s="55"/>
      <c r="D80" s="55" t="s">
        <v>48</v>
      </c>
      <c r="E80" s="55"/>
      <c r="F80" s="55">
        <f aca="true" t="shared" si="51" ref="F80:P80">EXP(F78*F79)</f>
        <v>0.22987915843879847</v>
      </c>
      <c r="G80" s="55">
        <f t="shared" si="51"/>
        <v>0.22987915843879847</v>
      </c>
      <c r="H80" s="55">
        <f t="shared" si="51"/>
        <v>0.22987915843879847</v>
      </c>
      <c r="I80" s="55">
        <f t="shared" si="51"/>
        <v>0.22987915843879847</v>
      </c>
      <c r="J80" s="55">
        <f t="shared" si="51"/>
        <v>0.22987915843879847</v>
      </c>
      <c r="K80" s="55">
        <f t="shared" si="51"/>
        <v>0.22987915843879847</v>
      </c>
      <c r="L80" s="55">
        <f t="shared" si="51"/>
        <v>0.22987915843879847</v>
      </c>
      <c r="M80" s="55">
        <f t="shared" si="51"/>
        <v>0.22987915843879847</v>
      </c>
      <c r="N80" s="55">
        <f t="shared" si="51"/>
        <v>0.22987915843879847</v>
      </c>
      <c r="O80" s="55">
        <f t="shared" si="51"/>
        <v>0.22987915843879847</v>
      </c>
      <c r="P80" s="55">
        <f t="shared" si="51"/>
        <v>0.22987915843879847</v>
      </c>
      <c r="Q80" s="11"/>
      <c r="R80" s="55"/>
      <c r="S80" s="55"/>
      <c r="T80" s="55"/>
      <c r="U80" s="11"/>
      <c r="V80" s="11"/>
      <c r="W80" s="55"/>
    </row>
    <row r="81" spans="1:23" ht="12" hidden="1">
      <c r="A81" s="55" t="s">
        <v>49</v>
      </c>
      <c r="B81" s="55"/>
      <c r="C81" s="55"/>
      <c r="D81" s="55"/>
      <c r="E81" s="55"/>
      <c r="F81" s="55">
        <f aca="true" t="shared" si="52" ref="F81:P81">$H$14*$H$9</f>
        <v>4.204993429697766E+97</v>
      </c>
      <c r="G81" s="55">
        <f t="shared" si="52"/>
        <v>4.204993429697766E+97</v>
      </c>
      <c r="H81" s="55">
        <f t="shared" si="52"/>
        <v>4.204993429697766E+97</v>
      </c>
      <c r="I81" s="55">
        <f t="shared" si="52"/>
        <v>4.204993429697766E+97</v>
      </c>
      <c r="J81" s="55">
        <f t="shared" si="52"/>
        <v>4.204993429697766E+97</v>
      </c>
      <c r="K81" s="55">
        <f t="shared" si="52"/>
        <v>4.204993429697766E+97</v>
      </c>
      <c r="L81" s="55">
        <f t="shared" si="52"/>
        <v>4.204993429697766E+97</v>
      </c>
      <c r="M81" s="55">
        <f t="shared" si="52"/>
        <v>4.204993429697766E+97</v>
      </c>
      <c r="N81" s="55">
        <f t="shared" si="52"/>
        <v>4.204993429697766E+97</v>
      </c>
      <c r="O81" s="55">
        <f t="shared" si="52"/>
        <v>4.204993429697766E+97</v>
      </c>
      <c r="P81" s="55">
        <f t="shared" si="52"/>
        <v>4.204993429697766E+97</v>
      </c>
      <c r="Q81" s="11"/>
      <c r="R81" s="11"/>
      <c r="S81" s="11"/>
      <c r="T81" s="11"/>
      <c r="U81" s="11"/>
      <c r="V81" s="11"/>
      <c r="W81" s="11"/>
    </row>
    <row r="82" spans="1:23" ht="12" hidden="1">
      <c r="A82" s="55" t="s">
        <v>50</v>
      </c>
      <c r="B82" s="55"/>
      <c r="C82" s="55"/>
      <c r="D82" s="55"/>
      <c r="E82" s="55"/>
      <c r="F82" s="55">
        <f aca="true" t="shared" si="53" ref="F82:P82">SQRT(1+(4*$E$9*$B$9/$H$14))</f>
        <v>1.5880806024884253</v>
      </c>
      <c r="G82" s="55">
        <f t="shared" si="53"/>
        <v>1.5880806024884253</v>
      </c>
      <c r="H82" s="55">
        <f t="shared" si="53"/>
        <v>1.5880806024884253</v>
      </c>
      <c r="I82" s="55">
        <f t="shared" si="53"/>
        <v>1.5880806024884253</v>
      </c>
      <c r="J82" s="55">
        <f t="shared" si="53"/>
        <v>1.5880806024884253</v>
      </c>
      <c r="K82" s="55">
        <f t="shared" si="53"/>
        <v>1.5880806024884253</v>
      </c>
      <c r="L82" s="55">
        <f t="shared" si="53"/>
        <v>1.5880806024884253</v>
      </c>
      <c r="M82" s="55">
        <f t="shared" si="53"/>
        <v>1.5880806024884253</v>
      </c>
      <c r="N82" s="55">
        <f t="shared" si="53"/>
        <v>1.5880806024884253</v>
      </c>
      <c r="O82" s="55">
        <f t="shared" si="53"/>
        <v>1.5880806024884253</v>
      </c>
      <c r="P82" s="55">
        <f t="shared" si="53"/>
        <v>1.5880806024884253</v>
      </c>
      <c r="Q82" s="11"/>
      <c r="R82" s="11"/>
      <c r="S82" s="11"/>
      <c r="T82" s="11"/>
      <c r="U82" s="11"/>
      <c r="V82" s="11"/>
      <c r="W82" s="11"/>
    </row>
    <row r="83" spans="1:23" ht="12" hidden="1">
      <c r="A83" s="55" t="s">
        <v>51</v>
      </c>
      <c r="B83" s="55"/>
      <c r="C83" s="55"/>
      <c r="D83" s="55"/>
      <c r="E83" s="55"/>
      <c r="F83" s="55">
        <f aca="true" t="shared" si="54" ref="F83:P83">($C$21-(F81*F82))/F84</f>
        <v>-1.1513575373063837E+48</v>
      </c>
      <c r="G83" s="55">
        <f t="shared" si="54"/>
        <v>-1.1513575373063837E+48</v>
      </c>
      <c r="H83" s="55">
        <f t="shared" si="54"/>
        <v>-1.1513575373063837E+48</v>
      </c>
      <c r="I83" s="55">
        <f t="shared" si="54"/>
        <v>-1.1513575373063837E+48</v>
      </c>
      <c r="J83" s="55">
        <f t="shared" si="54"/>
        <v>-1.1513575373063837E+48</v>
      </c>
      <c r="K83" s="55">
        <f t="shared" si="54"/>
        <v>-1.1513575373063837E+48</v>
      </c>
      <c r="L83" s="55">
        <f t="shared" si="54"/>
        <v>-1.1513575373063837E+48</v>
      </c>
      <c r="M83" s="55">
        <f t="shared" si="54"/>
        <v>-1.1513575373063837E+48</v>
      </c>
      <c r="N83" s="55">
        <f t="shared" si="54"/>
        <v>-1.1513575373063837E+48</v>
      </c>
      <c r="O83" s="55">
        <f t="shared" si="54"/>
        <v>-1.1513575373063837E+48</v>
      </c>
      <c r="P83" s="55">
        <f t="shared" si="54"/>
        <v>-1.1513575373063837E+48</v>
      </c>
      <c r="Q83" s="11"/>
      <c r="R83" s="11"/>
      <c r="S83" s="11"/>
      <c r="T83" s="11"/>
      <c r="U83" s="11"/>
      <c r="V83" s="11"/>
      <c r="W83" s="11"/>
    </row>
    <row r="84" spans="1:23" ht="12" hidden="1">
      <c r="A84" s="55" t="s">
        <v>52</v>
      </c>
      <c r="B84" s="55"/>
      <c r="C84" s="55"/>
      <c r="D84" s="55"/>
      <c r="E84" s="55"/>
      <c r="F84" s="55">
        <f aca="true" t="shared" si="55" ref="F84:P84">2*SQRT($B$9*$H$14*$H$9)</f>
        <v>5.79999546875531E+49</v>
      </c>
      <c r="G84" s="55">
        <f t="shared" si="55"/>
        <v>5.79999546875531E+49</v>
      </c>
      <c r="H84" s="55">
        <f t="shared" si="55"/>
        <v>5.79999546875531E+49</v>
      </c>
      <c r="I84" s="55">
        <f t="shared" si="55"/>
        <v>5.79999546875531E+49</v>
      </c>
      <c r="J84" s="55">
        <f t="shared" si="55"/>
        <v>5.79999546875531E+49</v>
      </c>
      <c r="K84" s="55">
        <f t="shared" si="55"/>
        <v>5.79999546875531E+49</v>
      </c>
      <c r="L84" s="55">
        <f t="shared" si="55"/>
        <v>5.79999546875531E+49</v>
      </c>
      <c r="M84" s="55">
        <f t="shared" si="55"/>
        <v>5.79999546875531E+49</v>
      </c>
      <c r="N84" s="55">
        <f t="shared" si="55"/>
        <v>5.79999546875531E+49</v>
      </c>
      <c r="O84" s="55">
        <f t="shared" si="55"/>
        <v>5.79999546875531E+49</v>
      </c>
      <c r="P84" s="55">
        <f t="shared" si="55"/>
        <v>5.79999546875531E+49</v>
      </c>
      <c r="Q84" s="11"/>
      <c r="R84" s="11"/>
      <c r="S84" s="11"/>
      <c r="T84" s="11"/>
      <c r="U84" s="11"/>
      <c r="V84" s="11"/>
      <c r="W84" s="11"/>
    </row>
    <row r="85" spans="1:23" ht="12" hidden="1">
      <c r="A85" s="55" t="s">
        <v>53</v>
      </c>
      <c r="B85" s="55"/>
      <c r="C85" s="55"/>
      <c r="D85" s="55"/>
      <c r="E85" s="55"/>
      <c r="F85" s="55">
        <f aca="true" t="shared" si="56" ref="F85:P85">(F82*F83)/F84</f>
        <v>-0.031525</v>
      </c>
      <c r="G85" s="55">
        <f t="shared" si="56"/>
        <v>-0.031525</v>
      </c>
      <c r="H85" s="55">
        <f t="shared" si="56"/>
        <v>-0.031525</v>
      </c>
      <c r="I85" s="55">
        <f t="shared" si="56"/>
        <v>-0.031525</v>
      </c>
      <c r="J85" s="55">
        <f t="shared" si="56"/>
        <v>-0.031525</v>
      </c>
      <c r="K85" s="55">
        <f t="shared" si="56"/>
        <v>-0.031525</v>
      </c>
      <c r="L85" s="55">
        <f t="shared" si="56"/>
        <v>-0.031525</v>
      </c>
      <c r="M85" s="55">
        <f t="shared" si="56"/>
        <v>-0.031525</v>
      </c>
      <c r="N85" s="55">
        <f t="shared" si="56"/>
        <v>-0.031525</v>
      </c>
      <c r="O85" s="55">
        <f t="shared" si="56"/>
        <v>-0.031525</v>
      </c>
      <c r="P85" s="55">
        <f t="shared" si="56"/>
        <v>-0.031525</v>
      </c>
      <c r="Q85" s="11"/>
      <c r="R85" s="11"/>
      <c r="S85" s="11"/>
      <c r="T85" s="11"/>
      <c r="U85" s="11"/>
      <c r="V85" s="11"/>
      <c r="W85" s="11"/>
    </row>
    <row r="86" spans="1:23" ht="12" hidden="1">
      <c r="A86" s="55" t="s">
        <v>54</v>
      </c>
      <c r="B86" s="55"/>
      <c r="C86" s="55"/>
      <c r="D86" s="55"/>
      <c r="E86" s="55"/>
      <c r="F86" s="55">
        <f aca="true" t="shared" si="57" ref="F86:P86">IF(F83&gt;10,0,IF(F83&gt;=0,ERFC(F83),IF(F83&lt;-3.75,2,1+ERF(ABS(F83)))))</f>
        <v>2</v>
      </c>
      <c r="G86" s="55">
        <f t="shared" si="57"/>
        <v>2</v>
      </c>
      <c r="H86" s="55">
        <f t="shared" si="57"/>
        <v>2</v>
      </c>
      <c r="I86" s="55">
        <f t="shared" si="57"/>
        <v>2</v>
      </c>
      <c r="J86" s="55">
        <f t="shared" si="57"/>
        <v>2</v>
      </c>
      <c r="K86" s="55">
        <f t="shared" si="57"/>
        <v>2</v>
      </c>
      <c r="L86" s="55">
        <f t="shared" si="57"/>
        <v>2</v>
      </c>
      <c r="M86" s="55">
        <f t="shared" si="57"/>
        <v>2</v>
      </c>
      <c r="N86" s="55">
        <f t="shared" si="57"/>
        <v>2</v>
      </c>
      <c r="O86" s="55">
        <f t="shared" si="57"/>
        <v>2</v>
      </c>
      <c r="P86" s="55">
        <f t="shared" si="57"/>
        <v>2</v>
      </c>
      <c r="Q86" s="11"/>
      <c r="R86" s="11"/>
      <c r="S86" s="11"/>
      <c r="T86" s="11"/>
      <c r="U86" s="11"/>
      <c r="V86" s="11"/>
      <c r="W86" s="11"/>
    </row>
    <row r="87" spans="1:23" ht="12" hidden="1">
      <c r="A87" s="55" t="s">
        <v>55</v>
      </c>
      <c r="B87" s="55"/>
      <c r="C87" s="55"/>
      <c r="D87" s="55"/>
      <c r="E87" s="55"/>
      <c r="F87" s="55">
        <f aca="true" t="shared" si="58" ref="F87:P87">2*SQRT($C$9*$C$21)</f>
        <v>20</v>
      </c>
      <c r="G87" s="55">
        <f t="shared" si="58"/>
        <v>20</v>
      </c>
      <c r="H87" s="55">
        <f t="shared" si="58"/>
        <v>20</v>
      </c>
      <c r="I87" s="55">
        <f t="shared" si="58"/>
        <v>20</v>
      </c>
      <c r="J87" s="55">
        <f t="shared" si="58"/>
        <v>20</v>
      </c>
      <c r="K87" s="55">
        <f t="shared" si="58"/>
        <v>20</v>
      </c>
      <c r="L87" s="55">
        <f t="shared" si="58"/>
        <v>20</v>
      </c>
      <c r="M87" s="55">
        <f t="shared" si="58"/>
        <v>20</v>
      </c>
      <c r="N87" s="55">
        <f t="shared" si="58"/>
        <v>20</v>
      </c>
      <c r="O87" s="55">
        <f t="shared" si="58"/>
        <v>20</v>
      </c>
      <c r="P87" s="55">
        <f t="shared" si="58"/>
        <v>20</v>
      </c>
      <c r="Q87" s="11"/>
      <c r="R87" s="11"/>
      <c r="S87" s="11"/>
      <c r="T87" s="11"/>
      <c r="U87" s="11"/>
      <c r="V87" s="11"/>
      <c r="W87" s="11"/>
    </row>
    <row r="88" spans="1:23" ht="12" hidden="1">
      <c r="A88" s="55" t="s">
        <v>56</v>
      </c>
      <c r="B88" s="55"/>
      <c r="C88" s="55"/>
      <c r="D88" s="55"/>
      <c r="E88" s="55"/>
      <c r="F88" s="55">
        <f aca="true" t="shared" si="59" ref="F88:P88">2*SQRT($D$9*$C$21)</f>
        <v>0.2</v>
      </c>
      <c r="G88" s="55">
        <f t="shared" si="59"/>
        <v>0.2</v>
      </c>
      <c r="H88" s="55">
        <f t="shared" si="59"/>
        <v>0.2</v>
      </c>
      <c r="I88" s="55">
        <f t="shared" si="59"/>
        <v>0.2</v>
      </c>
      <c r="J88" s="55">
        <f t="shared" si="59"/>
        <v>0.2</v>
      </c>
      <c r="K88" s="55">
        <f t="shared" si="59"/>
        <v>0.2</v>
      </c>
      <c r="L88" s="55">
        <f t="shared" si="59"/>
        <v>0.2</v>
      </c>
      <c r="M88" s="55">
        <f t="shared" si="59"/>
        <v>0.2</v>
      </c>
      <c r="N88" s="55">
        <f t="shared" si="59"/>
        <v>0.2</v>
      </c>
      <c r="O88" s="55">
        <f t="shared" si="59"/>
        <v>0.2</v>
      </c>
      <c r="P88" s="55">
        <f t="shared" si="59"/>
        <v>0.2</v>
      </c>
      <c r="Q88" s="11"/>
      <c r="R88" s="11"/>
      <c r="S88" s="11"/>
      <c r="T88" s="11"/>
      <c r="U88" s="11"/>
      <c r="V88" s="11"/>
      <c r="W88" s="11"/>
    </row>
    <row r="89" spans="1:23" ht="12" hidden="1">
      <c r="A89" s="55" t="s">
        <v>57</v>
      </c>
      <c r="B89" s="55"/>
      <c r="C89" s="55"/>
      <c r="D89" s="55"/>
      <c r="E89" s="55"/>
      <c r="F89" s="55">
        <f aca="true" t="shared" si="60" ref="F89:P89">((E$16+($F$9/2))/F87)</f>
        <v>-2.19375</v>
      </c>
      <c r="G89" s="55">
        <f t="shared" si="60"/>
        <v>-1.2550000000000003</v>
      </c>
      <c r="H89" s="55">
        <f t="shared" si="60"/>
        <v>-0.3162499999999998</v>
      </c>
      <c r="I89" s="55">
        <f t="shared" si="60"/>
        <v>0.6224999999999998</v>
      </c>
      <c r="J89" s="55">
        <f t="shared" si="60"/>
        <v>1.5612499999999998</v>
      </c>
      <c r="K89" s="55">
        <f t="shared" si="60"/>
        <v>2.5</v>
      </c>
      <c r="L89" s="55">
        <f t="shared" si="60"/>
        <v>3.43875</v>
      </c>
      <c r="M89" s="55">
        <f t="shared" si="60"/>
        <v>4.3775</v>
      </c>
      <c r="N89" s="55">
        <f t="shared" si="60"/>
        <v>5.316249999999999</v>
      </c>
      <c r="O89" s="55">
        <f t="shared" si="60"/>
        <v>6.255000000000001</v>
      </c>
      <c r="P89" s="55">
        <f t="shared" si="60"/>
        <v>7.19375</v>
      </c>
      <c r="Q89" s="11"/>
      <c r="R89" s="11"/>
      <c r="S89" s="11"/>
      <c r="T89" s="11"/>
      <c r="U89" s="11"/>
      <c r="V89" s="11"/>
      <c r="W89" s="11"/>
    </row>
    <row r="90" spans="1:23" ht="12" hidden="1">
      <c r="A90" s="55" t="s">
        <v>58</v>
      </c>
      <c r="B90" s="55"/>
      <c r="C90" s="55"/>
      <c r="D90" s="55"/>
      <c r="E90" s="55"/>
      <c r="F90" s="55">
        <f aca="true" t="shared" si="61" ref="F90:P90">((E$16-($F$9/2))/F87)</f>
        <v>-7.19375</v>
      </c>
      <c r="G90" s="55">
        <f t="shared" si="61"/>
        <v>-6.255000000000001</v>
      </c>
      <c r="H90" s="55">
        <f t="shared" si="61"/>
        <v>-5.316249999999999</v>
      </c>
      <c r="I90" s="55">
        <f t="shared" si="61"/>
        <v>-4.3775</v>
      </c>
      <c r="J90" s="55">
        <f t="shared" si="61"/>
        <v>-3.43875</v>
      </c>
      <c r="K90" s="55">
        <f t="shared" si="61"/>
        <v>-2.5</v>
      </c>
      <c r="L90" s="55">
        <f t="shared" si="61"/>
        <v>-1.5612499999999998</v>
      </c>
      <c r="M90" s="55">
        <f t="shared" si="61"/>
        <v>-0.6224999999999998</v>
      </c>
      <c r="N90" s="55">
        <f t="shared" si="61"/>
        <v>0.3162499999999998</v>
      </c>
      <c r="O90" s="55">
        <f t="shared" si="61"/>
        <v>1.2550000000000003</v>
      </c>
      <c r="P90" s="55">
        <f t="shared" si="61"/>
        <v>2.19375</v>
      </c>
      <c r="Q90" s="11"/>
      <c r="R90" s="11"/>
      <c r="S90" s="11"/>
      <c r="T90" s="11"/>
      <c r="U90" s="11"/>
      <c r="V90" s="11"/>
      <c r="W90" s="11"/>
    </row>
    <row r="91" spans="1:23" ht="12" hidden="1">
      <c r="A91" s="55" t="s">
        <v>59</v>
      </c>
      <c r="B91" s="55"/>
      <c r="C91" s="55"/>
      <c r="D91" s="55"/>
      <c r="E91" s="55"/>
      <c r="F91" s="55">
        <f aca="true" t="shared" si="62" ref="F91:P91">($D$19+$G$9)/F88</f>
        <v>39.562</v>
      </c>
      <c r="G91" s="55">
        <f t="shared" si="62"/>
        <v>39.562</v>
      </c>
      <c r="H91" s="55">
        <f t="shared" si="62"/>
        <v>39.562</v>
      </c>
      <c r="I91" s="55">
        <f t="shared" si="62"/>
        <v>39.562</v>
      </c>
      <c r="J91" s="55">
        <f t="shared" si="62"/>
        <v>39.562</v>
      </c>
      <c r="K91" s="55">
        <f t="shared" si="62"/>
        <v>39.562</v>
      </c>
      <c r="L91" s="55">
        <f t="shared" si="62"/>
        <v>39.562</v>
      </c>
      <c r="M91" s="55">
        <f t="shared" si="62"/>
        <v>39.562</v>
      </c>
      <c r="N91" s="55">
        <f t="shared" si="62"/>
        <v>39.562</v>
      </c>
      <c r="O91" s="55">
        <f t="shared" si="62"/>
        <v>39.562</v>
      </c>
      <c r="P91" s="55">
        <f t="shared" si="62"/>
        <v>39.562</v>
      </c>
      <c r="Q91" s="11"/>
      <c r="R91" s="11"/>
      <c r="S91" s="11"/>
      <c r="T91" s="11"/>
      <c r="U91" s="11"/>
      <c r="V91" s="11"/>
      <c r="W91" s="11"/>
    </row>
    <row r="92" spans="1:23" ht="12" hidden="1">
      <c r="A92" s="55" t="s">
        <v>60</v>
      </c>
      <c r="B92" s="55"/>
      <c r="C92" s="55"/>
      <c r="D92" s="55"/>
      <c r="E92" s="55"/>
      <c r="F92" s="55">
        <f aca="true" t="shared" si="63" ref="F92:P92">($D$19-$G$9)/F88</f>
        <v>-60.437999999999995</v>
      </c>
      <c r="G92" s="55">
        <f t="shared" si="63"/>
        <v>-60.437999999999995</v>
      </c>
      <c r="H92" s="55">
        <f t="shared" si="63"/>
        <v>-60.437999999999995</v>
      </c>
      <c r="I92" s="55">
        <f t="shared" si="63"/>
        <v>-60.437999999999995</v>
      </c>
      <c r="J92" s="55">
        <f t="shared" si="63"/>
        <v>-60.437999999999995</v>
      </c>
      <c r="K92" s="55">
        <f t="shared" si="63"/>
        <v>-60.437999999999995</v>
      </c>
      <c r="L92" s="55">
        <f t="shared" si="63"/>
        <v>-60.437999999999995</v>
      </c>
      <c r="M92" s="55">
        <f t="shared" si="63"/>
        <v>-60.437999999999995</v>
      </c>
      <c r="N92" s="55">
        <f t="shared" si="63"/>
        <v>-60.437999999999995</v>
      </c>
      <c r="O92" s="55">
        <f t="shared" si="63"/>
        <v>-60.437999999999995</v>
      </c>
      <c r="P92" s="55">
        <f t="shared" si="63"/>
        <v>-60.437999999999995</v>
      </c>
      <c r="Q92" s="11"/>
      <c r="R92" s="11"/>
      <c r="S92" s="11"/>
      <c r="T92" s="11"/>
      <c r="U92" s="11"/>
      <c r="V92" s="11"/>
      <c r="W92" s="11"/>
    </row>
    <row r="93" spans="1:23" ht="12" hidden="1">
      <c r="A93" s="55" t="s">
        <v>61</v>
      </c>
      <c r="B93" s="55"/>
      <c r="C93" s="55"/>
      <c r="D93" s="55"/>
      <c r="E93" s="55"/>
      <c r="F93" s="55">
        <f aca="true" t="shared" si="64" ref="F93:P93">IF(F89&gt;3.5,1,IF(F89&gt;=0,ERF(F89),IF(F89&gt;-3.5,-ERF(ABS(F89)),-1)))</f>
        <v>-0.9980806171492725</v>
      </c>
      <c r="G93" s="55">
        <f t="shared" si="64"/>
        <v>-0.9240753635215959</v>
      </c>
      <c r="H93" s="55">
        <f t="shared" si="64"/>
        <v>-0.3453018547117728</v>
      </c>
      <c r="I93" s="55">
        <f t="shared" si="64"/>
        <v>0.6213291518057229</v>
      </c>
      <c r="J93" s="55">
        <f t="shared" si="64"/>
        <v>0.97275160844547</v>
      </c>
      <c r="K93" s="55">
        <f t="shared" si="64"/>
        <v>0.999593047982555</v>
      </c>
      <c r="L93" s="55">
        <f t="shared" si="64"/>
        <v>0.9999988445427717</v>
      </c>
      <c r="M93" s="55">
        <f t="shared" si="64"/>
        <v>1</v>
      </c>
      <c r="N93" s="55">
        <f t="shared" si="64"/>
        <v>1</v>
      </c>
      <c r="O93" s="55">
        <f t="shared" si="64"/>
        <v>1</v>
      </c>
      <c r="P93" s="55">
        <f t="shared" si="64"/>
        <v>1</v>
      </c>
      <c r="Q93" s="11"/>
      <c r="R93" s="11"/>
      <c r="S93" s="11"/>
      <c r="T93" s="11"/>
      <c r="U93" s="11"/>
      <c r="V93" s="11"/>
      <c r="W93" s="11"/>
    </row>
    <row r="94" spans="1:23" ht="12" hidden="1">
      <c r="A94" s="55" t="s">
        <v>62</v>
      </c>
      <c r="B94" s="55"/>
      <c r="C94" s="55"/>
      <c r="D94" s="55"/>
      <c r="E94" s="55"/>
      <c r="F94" s="55">
        <f aca="true" t="shared" si="65" ref="F94:P94">IF(F90&gt;3.5,1,IF(F90&gt;=0,ERF(F90),IF(F90&gt;-3.5,-ERF(ABS(F90)),-1)))</f>
        <v>-1</v>
      </c>
      <c r="G94" s="55">
        <f t="shared" si="65"/>
        <v>-1</v>
      </c>
      <c r="H94" s="55">
        <f t="shared" si="65"/>
        <v>-1</v>
      </c>
      <c r="I94" s="55">
        <f t="shared" si="65"/>
        <v>-1</v>
      </c>
      <c r="J94" s="55">
        <f t="shared" si="65"/>
        <v>-0.9999988445427717</v>
      </c>
      <c r="K94" s="55">
        <f t="shared" si="65"/>
        <v>-0.999593047982555</v>
      </c>
      <c r="L94" s="55">
        <f t="shared" si="65"/>
        <v>-0.97275160844547</v>
      </c>
      <c r="M94" s="55">
        <f t="shared" si="65"/>
        <v>-0.6213291518057229</v>
      </c>
      <c r="N94" s="55">
        <f t="shared" si="65"/>
        <v>0.3453018547117728</v>
      </c>
      <c r="O94" s="55">
        <f t="shared" si="65"/>
        <v>0.9240753635215959</v>
      </c>
      <c r="P94" s="55">
        <f t="shared" si="65"/>
        <v>0.9980806171492725</v>
      </c>
      <c r="Q94" s="11"/>
      <c r="R94" s="11"/>
      <c r="S94" s="11"/>
      <c r="T94" s="11"/>
      <c r="U94" s="11"/>
      <c r="V94" s="11"/>
      <c r="W94" s="11"/>
    </row>
    <row r="95" spans="1:23" ht="12" hidden="1">
      <c r="A95" s="55" t="s">
        <v>63</v>
      </c>
      <c r="B95" s="55"/>
      <c r="C95" s="55"/>
      <c r="D95" s="55"/>
      <c r="E95" s="55"/>
      <c r="F95" s="55">
        <f aca="true" t="shared" si="66" ref="F95:P95">IF(F91&gt;3.5,1,IF(F91&gt;=0,ERF(F91),IF(F91&gt;-3.5,-ERF(ABS(F91)),-1)))</f>
        <v>1</v>
      </c>
      <c r="G95" s="55">
        <f t="shared" si="66"/>
        <v>1</v>
      </c>
      <c r="H95" s="55">
        <f t="shared" si="66"/>
        <v>1</v>
      </c>
      <c r="I95" s="55">
        <f t="shared" si="66"/>
        <v>1</v>
      </c>
      <c r="J95" s="55">
        <f t="shared" si="66"/>
        <v>1</v>
      </c>
      <c r="K95" s="55">
        <f t="shared" si="66"/>
        <v>1</v>
      </c>
      <c r="L95" s="55">
        <f t="shared" si="66"/>
        <v>1</v>
      </c>
      <c r="M95" s="55">
        <f t="shared" si="66"/>
        <v>1</v>
      </c>
      <c r="N95" s="55">
        <f t="shared" si="66"/>
        <v>1</v>
      </c>
      <c r="O95" s="55">
        <f t="shared" si="66"/>
        <v>1</v>
      </c>
      <c r="P95" s="55">
        <f t="shared" si="66"/>
        <v>1</v>
      </c>
      <c r="Q95" s="11"/>
      <c r="R95" s="11"/>
      <c r="S95" s="11"/>
      <c r="T95" s="11"/>
      <c r="U95" s="11"/>
      <c r="V95" s="11"/>
      <c r="W95" s="11"/>
    </row>
    <row r="96" spans="1:23" ht="12" hidden="1">
      <c r="A96" s="55" t="s">
        <v>64</v>
      </c>
      <c r="B96" s="55"/>
      <c r="C96" s="55"/>
      <c r="D96" s="55"/>
      <c r="E96" s="55"/>
      <c r="F96" s="55">
        <f aca="true" t="shared" si="67" ref="F96:P96">IF(F92&gt;3.5,1,IF(F92&gt;=0,ERF(F92),IF(F92&gt;-3.5,-ERF(ABS(F92)),-1)))</f>
        <v>-1</v>
      </c>
      <c r="G96" s="55">
        <f t="shared" si="67"/>
        <v>-1</v>
      </c>
      <c r="H96" s="55">
        <f t="shared" si="67"/>
        <v>-1</v>
      </c>
      <c r="I96" s="55">
        <f t="shared" si="67"/>
        <v>-1</v>
      </c>
      <c r="J96" s="55">
        <f t="shared" si="67"/>
        <v>-1</v>
      </c>
      <c r="K96" s="55">
        <f t="shared" si="67"/>
        <v>-1</v>
      </c>
      <c r="L96" s="55">
        <f t="shared" si="67"/>
        <v>-1</v>
      </c>
      <c r="M96" s="55">
        <f t="shared" si="67"/>
        <v>-1</v>
      </c>
      <c r="N96" s="55">
        <f t="shared" si="67"/>
        <v>-1</v>
      </c>
      <c r="O96" s="55">
        <f t="shared" si="67"/>
        <v>-1</v>
      </c>
      <c r="P96" s="55">
        <f t="shared" si="67"/>
        <v>-1</v>
      </c>
      <c r="Q96" s="11"/>
      <c r="R96" s="11"/>
      <c r="S96" s="11"/>
      <c r="T96" s="11"/>
      <c r="U96" s="11"/>
      <c r="V96" s="11"/>
      <c r="W96" s="11"/>
    </row>
    <row r="97" spans="1:23" ht="12" hidden="1">
      <c r="A97" s="11" t="s">
        <v>69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2" hidden="1">
      <c r="A98" s="55" t="s">
        <v>45</v>
      </c>
      <c r="B98" s="55"/>
      <c r="C98" s="55"/>
      <c r="D98" s="55"/>
      <c r="E98" s="55"/>
      <c r="F98" s="55">
        <f aca="true" t="shared" si="68" ref="F98:P98">$C$21/(2*$B$9)</f>
        <v>2.5</v>
      </c>
      <c r="G98" s="55">
        <f t="shared" si="68"/>
        <v>2.5</v>
      </c>
      <c r="H98" s="55">
        <f t="shared" si="68"/>
        <v>2.5</v>
      </c>
      <c r="I98" s="55">
        <f t="shared" si="68"/>
        <v>2.5</v>
      </c>
      <c r="J98" s="55">
        <f t="shared" si="68"/>
        <v>2.5</v>
      </c>
      <c r="K98" s="55">
        <f t="shared" si="68"/>
        <v>2.5</v>
      </c>
      <c r="L98" s="55">
        <f t="shared" si="68"/>
        <v>2.5</v>
      </c>
      <c r="M98" s="55">
        <f t="shared" si="68"/>
        <v>2.5</v>
      </c>
      <c r="N98" s="55">
        <f t="shared" si="68"/>
        <v>2.5</v>
      </c>
      <c r="O98" s="55">
        <f t="shared" si="68"/>
        <v>2.5</v>
      </c>
      <c r="P98" s="55">
        <f t="shared" si="68"/>
        <v>2.5</v>
      </c>
      <c r="Q98" s="11"/>
      <c r="R98" s="11"/>
      <c r="S98" s="11"/>
      <c r="T98" s="11"/>
      <c r="U98" s="11"/>
      <c r="V98" s="11"/>
      <c r="W98" s="11"/>
    </row>
    <row r="99" spans="1:23" ht="12" hidden="1">
      <c r="A99" s="55" t="s">
        <v>46</v>
      </c>
      <c r="B99" s="55"/>
      <c r="C99" s="55"/>
      <c r="D99" s="55"/>
      <c r="E99" s="55"/>
      <c r="F99" s="55">
        <f aca="true" t="shared" si="69" ref="F99:P99">1-(SQRT(1+(4*$E$9*$B$9)/$H$14))</f>
        <v>-0.5880806024884253</v>
      </c>
      <c r="G99" s="55">
        <f t="shared" si="69"/>
        <v>-0.5880806024884253</v>
      </c>
      <c r="H99" s="55">
        <f t="shared" si="69"/>
        <v>-0.5880806024884253</v>
      </c>
      <c r="I99" s="55">
        <f t="shared" si="69"/>
        <v>-0.5880806024884253</v>
      </c>
      <c r="J99" s="55">
        <f t="shared" si="69"/>
        <v>-0.5880806024884253</v>
      </c>
      <c r="K99" s="55">
        <f t="shared" si="69"/>
        <v>-0.5880806024884253</v>
      </c>
      <c r="L99" s="55">
        <f t="shared" si="69"/>
        <v>-0.5880806024884253</v>
      </c>
      <c r="M99" s="55">
        <f t="shared" si="69"/>
        <v>-0.5880806024884253</v>
      </c>
      <c r="N99" s="55">
        <f t="shared" si="69"/>
        <v>-0.5880806024884253</v>
      </c>
      <c r="O99" s="55">
        <f t="shared" si="69"/>
        <v>-0.5880806024884253</v>
      </c>
      <c r="P99" s="55">
        <f t="shared" si="69"/>
        <v>-0.5880806024884253</v>
      </c>
      <c r="Q99" s="11"/>
      <c r="R99" s="11"/>
      <c r="S99" s="11"/>
      <c r="T99" s="11"/>
      <c r="U99" s="11"/>
      <c r="V99" s="11"/>
      <c r="W99" s="11"/>
    </row>
    <row r="100" spans="1:24" ht="12" hidden="1">
      <c r="A100" s="55" t="s">
        <v>47</v>
      </c>
      <c r="B100" s="55"/>
      <c r="C100" s="55"/>
      <c r="D100" s="55" t="s">
        <v>48</v>
      </c>
      <c r="E100" s="55"/>
      <c r="F100" s="55">
        <f aca="true" t="shared" si="70" ref="F100:P100">EXP(F98*F99)</f>
        <v>0.22987915843879847</v>
      </c>
      <c r="G100" s="55">
        <f t="shared" si="70"/>
        <v>0.22987915843879847</v>
      </c>
      <c r="H100" s="55">
        <f t="shared" si="70"/>
        <v>0.22987915843879847</v>
      </c>
      <c r="I100" s="55">
        <f t="shared" si="70"/>
        <v>0.22987915843879847</v>
      </c>
      <c r="J100" s="55">
        <f t="shared" si="70"/>
        <v>0.22987915843879847</v>
      </c>
      <c r="K100" s="55">
        <f t="shared" si="70"/>
        <v>0.22987915843879847</v>
      </c>
      <c r="L100" s="55">
        <f t="shared" si="70"/>
        <v>0.22987915843879847</v>
      </c>
      <c r="M100" s="55">
        <f t="shared" si="70"/>
        <v>0.22987915843879847</v>
      </c>
      <c r="N100" s="55">
        <f t="shared" si="70"/>
        <v>0.22987915843879847</v>
      </c>
      <c r="O100" s="55">
        <f t="shared" si="70"/>
        <v>0.22987915843879847</v>
      </c>
      <c r="P100" s="55">
        <f t="shared" si="70"/>
        <v>0.22987915843879847</v>
      </c>
      <c r="Q100" s="11"/>
      <c r="R100" s="55"/>
      <c r="S100" s="55"/>
      <c r="T100" s="55"/>
      <c r="U100" s="55"/>
      <c r="V100" s="55"/>
      <c r="W100" s="55"/>
      <c r="X100" s="1"/>
    </row>
    <row r="101" spans="1:24" ht="12" hidden="1">
      <c r="A101" s="55" t="s">
        <v>49</v>
      </c>
      <c r="B101" s="55"/>
      <c r="C101" s="55"/>
      <c r="D101" s="55"/>
      <c r="E101" s="55"/>
      <c r="F101" s="55">
        <f aca="true" t="shared" si="71" ref="F101:P101">$H$14*$H$9</f>
        <v>4.204993429697766E+97</v>
      </c>
      <c r="G101" s="55">
        <f t="shared" si="71"/>
        <v>4.204993429697766E+97</v>
      </c>
      <c r="H101" s="55">
        <f t="shared" si="71"/>
        <v>4.204993429697766E+97</v>
      </c>
      <c r="I101" s="55">
        <f t="shared" si="71"/>
        <v>4.204993429697766E+97</v>
      </c>
      <c r="J101" s="55">
        <f t="shared" si="71"/>
        <v>4.204993429697766E+97</v>
      </c>
      <c r="K101" s="55">
        <f t="shared" si="71"/>
        <v>4.204993429697766E+97</v>
      </c>
      <c r="L101" s="55">
        <f t="shared" si="71"/>
        <v>4.204993429697766E+97</v>
      </c>
      <c r="M101" s="55">
        <f t="shared" si="71"/>
        <v>4.204993429697766E+97</v>
      </c>
      <c r="N101" s="55">
        <f t="shared" si="71"/>
        <v>4.204993429697766E+97</v>
      </c>
      <c r="O101" s="55">
        <f t="shared" si="71"/>
        <v>4.204993429697766E+97</v>
      </c>
      <c r="P101" s="55">
        <f t="shared" si="71"/>
        <v>4.204993429697766E+97</v>
      </c>
      <c r="Q101" s="11"/>
      <c r="R101" s="55"/>
      <c r="S101" s="55"/>
      <c r="T101" s="55"/>
      <c r="U101" s="55"/>
      <c r="V101" s="55"/>
      <c r="W101" s="55"/>
      <c r="X101" s="1"/>
    </row>
    <row r="102" spans="1:24" ht="12" hidden="1">
      <c r="A102" s="55" t="s">
        <v>50</v>
      </c>
      <c r="B102" s="55"/>
      <c r="C102" s="55"/>
      <c r="D102" s="55"/>
      <c r="E102" s="55"/>
      <c r="F102" s="55">
        <f aca="true" t="shared" si="72" ref="F102:P102">SQRT(1+(4*$E$9*$B$9/$H$14))</f>
        <v>1.5880806024884253</v>
      </c>
      <c r="G102" s="55">
        <f t="shared" si="72"/>
        <v>1.5880806024884253</v>
      </c>
      <c r="H102" s="55">
        <f t="shared" si="72"/>
        <v>1.5880806024884253</v>
      </c>
      <c r="I102" s="55">
        <f t="shared" si="72"/>
        <v>1.5880806024884253</v>
      </c>
      <c r="J102" s="55">
        <f t="shared" si="72"/>
        <v>1.5880806024884253</v>
      </c>
      <c r="K102" s="55">
        <f t="shared" si="72"/>
        <v>1.5880806024884253</v>
      </c>
      <c r="L102" s="55">
        <f t="shared" si="72"/>
        <v>1.5880806024884253</v>
      </c>
      <c r="M102" s="55">
        <f t="shared" si="72"/>
        <v>1.5880806024884253</v>
      </c>
      <c r="N102" s="55">
        <f t="shared" si="72"/>
        <v>1.5880806024884253</v>
      </c>
      <c r="O102" s="55">
        <f t="shared" si="72"/>
        <v>1.5880806024884253</v>
      </c>
      <c r="P102" s="55">
        <f t="shared" si="72"/>
        <v>1.5880806024884253</v>
      </c>
      <c r="Q102" s="11"/>
      <c r="R102" s="55"/>
      <c r="S102" s="55"/>
      <c r="T102" s="55"/>
      <c r="U102" s="55"/>
      <c r="V102" s="55"/>
      <c r="W102" s="55"/>
      <c r="X102" s="1"/>
    </row>
    <row r="103" spans="1:24" ht="12" hidden="1">
      <c r="A103" s="55" t="s">
        <v>51</v>
      </c>
      <c r="B103" s="55"/>
      <c r="C103" s="55"/>
      <c r="D103" s="55"/>
      <c r="E103" s="55"/>
      <c r="F103" s="55">
        <f aca="true" t="shared" si="73" ref="F103:P103">($C$21-(F101*F102))/F104</f>
        <v>-1.1513575373063837E+48</v>
      </c>
      <c r="G103" s="55">
        <f t="shared" si="73"/>
        <v>-1.1513575373063837E+48</v>
      </c>
      <c r="H103" s="55">
        <f t="shared" si="73"/>
        <v>-1.1513575373063837E+48</v>
      </c>
      <c r="I103" s="55">
        <f t="shared" si="73"/>
        <v>-1.1513575373063837E+48</v>
      </c>
      <c r="J103" s="55">
        <f t="shared" si="73"/>
        <v>-1.1513575373063837E+48</v>
      </c>
      <c r="K103" s="55">
        <f t="shared" si="73"/>
        <v>-1.1513575373063837E+48</v>
      </c>
      <c r="L103" s="55">
        <f t="shared" si="73"/>
        <v>-1.1513575373063837E+48</v>
      </c>
      <c r="M103" s="55">
        <f t="shared" si="73"/>
        <v>-1.1513575373063837E+48</v>
      </c>
      <c r="N103" s="55">
        <f t="shared" si="73"/>
        <v>-1.1513575373063837E+48</v>
      </c>
      <c r="O103" s="55">
        <f t="shared" si="73"/>
        <v>-1.1513575373063837E+48</v>
      </c>
      <c r="P103" s="55">
        <f t="shared" si="73"/>
        <v>-1.1513575373063837E+48</v>
      </c>
      <c r="Q103" s="11"/>
      <c r="R103" s="55"/>
      <c r="S103" s="55"/>
      <c r="T103" s="55"/>
      <c r="U103" s="55"/>
      <c r="V103" s="55"/>
      <c r="W103" s="55"/>
      <c r="X103" s="1"/>
    </row>
    <row r="104" spans="1:24" ht="12" hidden="1">
      <c r="A104" s="55" t="s">
        <v>52</v>
      </c>
      <c r="B104" s="55"/>
      <c r="C104" s="55"/>
      <c r="D104" s="55"/>
      <c r="E104" s="55"/>
      <c r="F104" s="55">
        <f aca="true" t="shared" si="74" ref="F104:P104">2*SQRT($B$9*$H$14*$H$9)</f>
        <v>5.79999546875531E+49</v>
      </c>
      <c r="G104" s="55">
        <f t="shared" si="74"/>
        <v>5.79999546875531E+49</v>
      </c>
      <c r="H104" s="55">
        <f t="shared" si="74"/>
        <v>5.79999546875531E+49</v>
      </c>
      <c r="I104" s="55">
        <f t="shared" si="74"/>
        <v>5.79999546875531E+49</v>
      </c>
      <c r="J104" s="55">
        <f t="shared" si="74"/>
        <v>5.79999546875531E+49</v>
      </c>
      <c r="K104" s="55">
        <f t="shared" si="74"/>
        <v>5.79999546875531E+49</v>
      </c>
      <c r="L104" s="55">
        <f t="shared" si="74"/>
        <v>5.79999546875531E+49</v>
      </c>
      <c r="M104" s="55">
        <f t="shared" si="74"/>
        <v>5.79999546875531E+49</v>
      </c>
      <c r="N104" s="55">
        <f t="shared" si="74"/>
        <v>5.79999546875531E+49</v>
      </c>
      <c r="O104" s="55">
        <f t="shared" si="74"/>
        <v>5.79999546875531E+49</v>
      </c>
      <c r="P104" s="55">
        <f t="shared" si="74"/>
        <v>5.79999546875531E+49</v>
      </c>
      <c r="Q104" s="11"/>
      <c r="R104" s="55"/>
      <c r="S104" s="55"/>
      <c r="T104" s="55"/>
      <c r="U104" s="55"/>
      <c r="V104" s="55"/>
      <c r="W104" s="55"/>
      <c r="X104" s="1"/>
    </row>
    <row r="105" spans="1:24" ht="12" hidden="1">
      <c r="A105" s="55" t="s">
        <v>53</v>
      </c>
      <c r="B105" s="55"/>
      <c r="C105" s="55"/>
      <c r="D105" s="55"/>
      <c r="E105" s="55"/>
      <c r="F105" s="55">
        <f aca="true" t="shared" si="75" ref="F105:P105">(F102*F103)/F104</f>
        <v>-0.031525</v>
      </c>
      <c r="G105" s="55">
        <f t="shared" si="75"/>
        <v>-0.031525</v>
      </c>
      <c r="H105" s="55">
        <f t="shared" si="75"/>
        <v>-0.031525</v>
      </c>
      <c r="I105" s="55">
        <f t="shared" si="75"/>
        <v>-0.031525</v>
      </c>
      <c r="J105" s="55">
        <f t="shared" si="75"/>
        <v>-0.031525</v>
      </c>
      <c r="K105" s="55">
        <f t="shared" si="75"/>
        <v>-0.031525</v>
      </c>
      <c r="L105" s="55">
        <f t="shared" si="75"/>
        <v>-0.031525</v>
      </c>
      <c r="M105" s="55">
        <f t="shared" si="75"/>
        <v>-0.031525</v>
      </c>
      <c r="N105" s="55">
        <f t="shared" si="75"/>
        <v>-0.031525</v>
      </c>
      <c r="O105" s="55">
        <f t="shared" si="75"/>
        <v>-0.031525</v>
      </c>
      <c r="P105" s="55">
        <f t="shared" si="75"/>
        <v>-0.031525</v>
      </c>
      <c r="Q105" s="11"/>
      <c r="R105" s="55"/>
      <c r="S105" s="55"/>
      <c r="T105" s="55"/>
      <c r="U105" s="55"/>
      <c r="V105" s="55"/>
      <c r="W105" s="55"/>
      <c r="X105" s="1"/>
    </row>
    <row r="106" spans="1:24" ht="12" hidden="1">
      <c r="A106" s="55" t="s">
        <v>54</v>
      </c>
      <c r="B106" s="55"/>
      <c r="C106" s="55"/>
      <c r="D106" s="55"/>
      <c r="E106" s="55"/>
      <c r="F106" s="55">
        <f aca="true" t="shared" si="76" ref="F106:P106">IF(F103&gt;10,0,IF(F103&gt;=0,ERFC(F103),IF(F103&lt;-3.75,2,1+ERF(ABS(F103)))))</f>
        <v>2</v>
      </c>
      <c r="G106" s="55">
        <f t="shared" si="76"/>
        <v>2</v>
      </c>
      <c r="H106" s="55">
        <f t="shared" si="76"/>
        <v>2</v>
      </c>
      <c r="I106" s="55">
        <f t="shared" si="76"/>
        <v>2</v>
      </c>
      <c r="J106" s="55">
        <f t="shared" si="76"/>
        <v>2</v>
      </c>
      <c r="K106" s="55">
        <f t="shared" si="76"/>
        <v>2</v>
      </c>
      <c r="L106" s="55">
        <f t="shared" si="76"/>
        <v>2</v>
      </c>
      <c r="M106" s="55">
        <f t="shared" si="76"/>
        <v>2</v>
      </c>
      <c r="N106" s="55">
        <f t="shared" si="76"/>
        <v>2</v>
      </c>
      <c r="O106" s="55">
        <f t="shared" si="76"/>
        <v>2</v>
      </c>
      <c r="P106" s="55">
        <f t="shared" si="76"/>
        <v>2</v>
      </c>
      <c r="Q106" s="11"/>
      <c r="R106" s="55"/>
      <c r="S106" s="55"/>
      <c r="T106" s="55"/>
      <c r="U106" s="55"/>
      <c r="V106" s="55"/>
      <c r="W106" s="55"/>
      <c r="X106" s="1"/>
    </row>
    <row r="107" spans="1:24" ht="12" hidden="1">
      <c r="A107" s="55" t="s">
        <v>55</v>
      </c>
      <c r="B107" s="55"/>
      <c r="C107" s="55"/>
      <c r="D107" s="55"/>
      <c r="E107" s="55"/>
      <c r="F107" s="55">
        <f aca="true" t="shared" si="77" ref="F107:P107">2*SQRT($C$9*$C$21)</f>
        <v>20</v>
      </c>
      <c r="G107" s="55">
        <f t="shared" si="77"/>
        <v>20</v>
      </c>
      <c r="H107" s="55">
        <f t="shared" si="77"/>
        <v>20</v>
      </c>
      <c r="I107" s="55">
        <f t="shared" si="77"/>
        <v>20</v>
      </c>
      <c r="J107" s="55">
        <f t="shared" si="77"/>
        <v>20</v>
      </c>
      <c r="K107" s="55">
        <f t="shared" si="77"/>
        <v>20</v>
      </c>
      <c r="L107" s="55">
        <f t="shared" si="77"/>
        <v>20</v>
      </c>
      <c r="M107" s="55">
        <f t="shared" si="77"/>
        <v>20</v>
      </c>
      <c r="N107" s="55">
        <f t="shared" si="77"/>
        <v>20</v>
      </c>
      <c r="O107" s="55">
        <f t="shared" si="77"/>
        <v>20</v>
      </c>
      <c r="P107" s="55">
        <f t="shared" si="77"/>
        <v>20</v>
      </c>
      <c r="Q107" s="11"/>
      <c r="R107" s="55"/>
      <c r="S107" s="55"/>
      <c r="T107" s="55"/>
      <c r="U107" s="55"/>
      <c r="V107" s="55"/>
      <c r="W107" s="55"/>
      <c r="X107" s="1"/>
    </row>
    <row r="108" spans="1:24" ht="12" hidden="1">
      <c r="A108" s="55" t="s">
        <v>56</v>
      </c>
      <c r="B108" s="55"/>
      <c r="C108" s="55"/>
      <c r="D108" s="55"/>
      <c r="E108" s="55"/>
      <c r="F108" s="55">
        <f aca="true" t="shared" si="78" ref="F108:P108">2*SQRT($D$9*$C$21)</f>
        <v>0.2</v>
      </c>
      <c r="G108" s="55">
        <f t="shared" si="78"/>
        <v>0.2</v>
      </c>
      <c r="H108" s="55">
        <f t="shared" si="78"/>
        <v>0.2</v>
      </c>
      <c r="I108" s="55">
        <f t="shared" si="78"/>
        <v>0.2</v>
      </c>
      <c r="J108" s="55">
        <f t="shared" si="78"/>
        <v>0.2</v>
      </c>
      <c r="K108" s="55">
        <f t="shared" si="78"/>
        <v>0.2</v>
      </c>
      <c r="L108" s="55">
        <f t="shared" si="78"/>
        <v>0.2</v>
      </c>
      <c r="M108" s="55">
        <f t="shared" si="78"/>
        <v>0.2</v>
      </c>
      <c r="N108" s="55">
        <f t="shared" si="78"/>
        <v>0.2</v>
      </c>
      <c r="O108" s="55">
        <f t="shared" si="78"/>
        <v>0.2</v>
      </c>
      <c r="P108" s="55">
        <f t="shared" si="78"/>
        <v>0.2</v>
      </c>
      <c r="Q108" s="11"/>
      <c r="R108" s="55"/>
      <c r="S108" s="55"/>
      <c r="T108" s="55"/>
      <c r="U108" s="55"/>
      <c r="V108" s="55"/>
      <c r="W108" s="55"/>
      <c r="X108" s="1"/>
    </row>
    <row r="109" spans="1:24" ht="12" hidden="1">
      <c r="A109" s="55" t="s">
        <v>57</v>
      </c>
      <c r="B109" s="55"/>
      <c r="C109" s="55"/>
      <c r="D109" s="55"/>
      <c r="E109" s="55"/>
      <c r="F109" s="55">
        <f aca="true" t="shared" si="79" ref="F109:P109">((E$16+($F$9/2))/F107)</f>
        <v>-2.19375</v>
      </c>
      <c r="G109" s="55">
        <f t="shared" si="79"/>
        <v>-1.2550000000000003</v>
      </c>
      <c r="H109" s="55">
        <f t="shared" si="79"/>
        <v>-0.3162499999999998</v>
      </c>
      <c r="I109" s="55">
        <f t="shared" si="79"/>
        <v>0.6224999999999998</v>
      </c>
      <c r="J109" s="55">
        <f t="shared" si="79"/>
        <v>1.5612499999999998</v>
      </c>
      <c r="K109" s="55">
        <f t="shared" si="79"/>
        <v>2.5</v>
      </c>
      <c r="L109" s="55">
        <f t="shared" si="79"/>
        <v>3.43875</v>
      </c>
      <c r="M109" s="55">
        <f t="shared" si="79"/>
        <v>4.3775</v>
      </c>
      <c r="N109" s="55">
        <f t="shared" si="79"/>
        <v>5.316249999999999</v>
      </c>
      <c r="O109" s="55">
        <f t="shared" si="79"/>
        <v>6.255000000000001</v>
      </c>
      <c r="P109" s="55">
        <f t="shared" si="79"/>
        <v>7.19375</v>
      </c>
      <c r="Q109" s="11"/>
      <c r="R109" s="55"/>
      <c r="S109" s="55"/>
      <c r="T109" s="55"/>
      <c r="U109" s="55"/>
      <c r="V109" s="55"/>
      <c r="W109" s="55"/>
      <c r="X109" s="1"/>
    </row>
    <row r="110" spans="1:24" ht="12" hidden="1">
      <c r="A110" s="55" t="s">
        <v>58</v>
      </c>
      <c r="B110" s="55"/>
      <c r="C110" s="55"/>
      <c r="D110" s="55"/>
      <c r="E110" s="55"/>
      <c r="F110" s="55">
        <f aca="true" t="shared" si="80" ref="F110:P110">((E$16-($F$9/2))/F107)</f>
        <v>-7.19375</v>
      </c>
      <c r="G110" s="55">
        <f t="shared" si="80"/>
        <v>-6.255000000000001</v>
      </c>
      <c r="H110" s="55">
        <f t="shared" si="80"/>
        <v>-5.316249999999999</v>
      </c>
      <c r="I110" s="55">
        <f t="shared" si="80"/>
        <v>-4.3775</v>
      </c>
      <c r="J110" s="55">
        <f t="shared" si="80"/>
        <v>-3.43875</v>
      </c>
      <c r="K110" s="55">
        <f t="shared" si="80"/>
        <v>-2.5</v>
      </c>
      <c r="L110" s="55">
        <f t="shared" si="80"/>
        <v>-1.5612499999999998</v>
      </c>
      <c r="M110" s="55">
        <f t="shared" si="80"/>
        <v>-0.6224999999999998</v>
      </c>
      <c r="N110" s="55">
        <f t="shared" si="80"/>
        <v>0.3162499999999998</v>
      </c>
      <c r="O110" s="55">
        <f t="shared" si="80"/>
        <v>1.2550000000000003</v>
      </c>
      <c r="P110" s="55">
        <f t="shared" si="80"/>
        <v>2.19375</v>
      </c>
      <c r="Q110" s="11"/>
      <c r="R110" s="55"/>
      <c r="S110" s="55"/>
      <c r="T110" s="55"/>
      <c r="U110" s="55"/>
      <c r="V110" s="55"/>
      <c r="W110" s="55"/>
      <c r="X110" s="1"/>
    </row>
    <row r="111" spans="1:24" ht="12" hidden="1">
      <c r="A111" s="55" t="s">
        <v>59</v>
      </c>
      <c r="B111" s="55"/>
      <c r="C111" s="55"/>
      <c r="D111" s="55"/>
      <c r="E111" s="55"/>
      <c r="F111" s="55">
        <f aca="true" t="shared" si="81" ref="F111:P111">($D$20+$G$9)/F108</f>
        <v>34.342999999999996</v>
      </c>
      <c r="G111" s="55">
        <f t="shared" si="81"/>
        <v>34.342999999999996</v>
      </c>
      <c r="H111" s="55">
        <f t="shared" si="81"/>
        <v>34.342999999999996</v>
      </c>
      <c r="I111" s="55">
        <f t="shared" si="81"/>
        <v>34.342999999999996</v>
      </c>
      <c r="J111" s="55">
        <f t="shared" si="81"/>
        <v>34.342999999999996</v>
      </c>
      <c r="K111" s="55">
        <f t="shared" si="81"/>
        <v>34.342999999999996</v>
      </c>
      <c r="L111" s="55">
        <f t="shared" si="81"/>
        <v>34.342999999999996</v>
      </c>
      <c r="M111" s="55">
        <f t="shared" si="81"/>
        <v>34.342999999999996</v>
      </c>
      <c r="N111" s="55">
        <f t="shared" si="81"/>
        <v>34.342999999999996</v>
      </c>
      <c r="O111" s="55">
        <f t="shared" si="81"/>
        <v>34.342999999999996</v>
      </c>
      <c r="P111" s="55">
        <f t="shared" si="81"/>
        <v>34.342999999999996</v>
      </c>
      <c r="Q111" s="11"/>
      <c r="R111" s="55"/>
      <c r="S111" s="55"/>
      <c r="T111" s="55"/>
      <c r="U111" s="55"/>
      <c r="V111" s="55"/>
      <c r="W111" s="55"/>
      <c r="X111" s="1"/>
    </row>
    <row r="112" spans="1:24" ht="12" hidden="1">
      <c r="A112" s="55" t="s">
        <v>60</v>
      </c>
      <c r="B112" s="55"/>
      <c r="C112" s="55"/>
      <c r="D112" s="55"/>
      <c r="E112" s="55"/>
      <c r="F112" s="55">
        <f aca="true" t="shared" si="82" ref="F112:P112">($D$20-$G$9)/F108</f>
        <v>-65.657</v>
      </c>
      <c r="G112" s="55">
        <f t="shared" si="82"/>
        <v>-65.657</v>
      </c>
      <c r="H112" s="55">
        <f t="shared" si="82"/>
        <v>-65.657</v>
      </c>
      <c r="I112" s="55">
        <f t="shared" si="82"/>
        <v>-65.657</v>
      </c>
      <c r="J112" s="55">
        <f t="shared" si="82"/>
        <v>-65.657</v>
      </c>
      <c r="K112" s="55">
        <f t="shared" si="82"/>
        <v>-65.657</v>
      </c>
      <c r="L112" s="55">
        <f t="shared" si="82"/>
        <v>-65.657</v>
      </c>
      <c r="M112" s="55">
        <f t="shared" si="82"/>
        <v>-65.657</v>
      </c>
      <c r="N112" s="55">
        <f t="shared" si="82"/>
        <v>-65.657</v>
      </c>
      <c r="O112" s="55">
        <f t="shared" si="82"/>
        <v>-65.657</v>
      </c>
      <c r="P112" s="55">
        <f t="shared" si="82"/>
        <v>-65.657</v>
      </c>
      <c r="Q112" s="11"/>
      <c r="R112" s="55"/>
      <c r="S112" s="55"/>
      <c r="T112" s="55"/>
      <c r="U112" s="55"/>
      <c r="V112" s="55"/>
      <c r="W112" s="55"/>
      <c r="X112" s="1"/>
    </row>
    <row r="113" spans="1:24" ht="12" hidden="1">
      <c r="A113" s="55" t="s">
        <v>61</v>
      </c>
      <c r="B113" s="55"/>
      <c r="C113" s="55"/>
      <c r="D113" s="55"/>
      <c r="E113" s="55"/>
      <c r="F113" s="55">
        <f aca="true" t="shared" si="83" ref="F113:P113">IF(F109&gt;3.5,1,IF(F109&gt;=0,ERF(F109),IF(F109&gt;-3.5,-ERF(ABS(F109)),-1)))</f>
        <v>-0.9980806171492725</v>
      </c>
      <c r="G113" s="55">
        <f t="shared" si="83"/>
        <v>-0.9240753635215959</v>
      </c>
      <c r="H113" s="55">
        <f t="shared" si="83"/>
        <v>-0.3453018547117728</v>
      </c>
      <c r="I113" s="55">
        <f t="shared" si="83"/>
        <v>0.6213291518057229</v>
      </c>
      <c r="J113" s="55">
        <f t="shared" si="83"/>
        <v>0.97275160844547</v>
      </c>
      <c r="K113" s="55">
        <f t="shared" si="83"/>
        <v>0.999593047982555</v>
      </c>
      <c r="L113" s="55">
        <f t="shared" si="83"/>
        <v>0.9999988445427717</v>
      </c>
      <c r="M113" s="55">
        <f t="shared" si="83"/>
        <v>1</v>
      </c>
      <c r="N113" s="55">
        <f t="shared" si="83"/>
        <v>1</v>
      </c>
      <c r="O113" s="55">
        <f t="shared" si="83"/>
        <v>1</v>
      </c>
      <c r="P113" s="55">
        <f t="shared" si="83"/>
        <v>1</v>
      </c>
      <c r="Q113" s="11"/>
      <c r="R113" s="55"/>
      <c r="S113" s="55"/>
      <c r="T113" s="55"/>
      <c r="U113" s="55"/>
      <c r="V113" s="55"/>
      <c r="W113" s="55"/>
      <c r="X113" s="1"/>
    </row>
    <row r="114" spans="1:24" ht="12" hidden="1">
      <c r="A114" s="55" t="s">
        <v>62</v>
      </c>
      <c r="B114" s="55"/>
      <c r="C114" s="55"/>
      <c r="D114" s="55"/>
      <c r="E114" s="55"/>
      <c r="F114" s="55">
        <f aca="true" t="shared" si="84" ref="F114:P114">IF(F110&gt;3.5,1,IF(F110&gt;=0,ERF(F110),IF(F110&gt;-3.5,-ERF(ABS(F110)),-1)))</f>
        <v>-1</v>
      </c>
      <c r="G114" s="55">
        <f t="shared" si="84"/>
        <v>-1</v>
      </c>
      <c r="H114" s="55">
        <f t="shared" si="84"/>
        <v>-1</v>
      </c>
      <c r="I114" s="55">
        <f t="shared" si="84"/>
        <v>-1</v>
      </c>
      <c r="J114" s="55">
        <f t="shared" si="84"/>
        <v>-0.9999988445427717</v>
      </c>
      <c r="K114" s="55">
        <f t="shared" si="84"/>
        <v>-0.999593047982555</v>
      </c>
      <c r="L114" s="55">
        <f t="shared" si="84"/>
        <v>-0.97275160844547</v>
      </c>
      <c r="M114" s="55">
        <f t="shared" si="84"/>
        <v>-0.6213291518057229</v>
      </c>
      <c r="N114" s="55">
        <f t="shared" si="84"/>
        <v>0.3453018547117728</v>
      </c>
      <c r="O114" s="55">
        <f t="shared" si="84"/>
        <v>0.9240753635215959</v>
      </c>
      <c r="P114" s="55">
        <f t="shared" si="84"/>
        <v>0.9980806171492725</v>
      </c>
      <c r="Q114" s="11"/>
      <c r="R114" s="55"/>
      <c r="S114" s="55"/>
      <c r="T114" s="55"/>
      <c r="U114" s="55"/>
      <c r="V114" s="55"/>
      <c r="W114" s="55"/>
      <c r="X114" s="1"/>
    </row>
    <row r="115" spans="1:24" ht="12" hidden="1">
      <c r="A115" s="55" t="s">
        <v>63</v>
      </c>
      <c r="B115" s="55"/>
      <c r="C115" s="55"/>
      <c r="D115" s="55"/>
      <c r="E115" s="55"/>
      <c r="F115" s="55">
        <f aca="true" t="shared" si="85" ref="F115:P115">IF(F111&gt;3.5,1,IF(F111&gt;=0,ERF(F111),IF(F111&gt;-3.5,-ERF(ABS(F111)),-1)))</f>
        <v>1</v>
      </c>
      <c r="G115" s="55">
        <f t="shared" si="85"/>
        <v>1</v>
      </c>
      <c r="H115" s="55">
        <f t="shared" si="85"/>
        <v>1</v>
      </c>
      <c r="I115" s="55">
        <f t="shared" si="85"/>
        <v>1</v>
      </c>
      <c r="J115" s="55">
        <f t="shared" si="85"/>
        <v>1</v>
      </c>
      <c r="K115" s="55">
        <f t="shared" si="85"/>
        <v>1</v>
      </c>
      <c r="L115" s="55">
        <f t="shared" si="85"/>
        <v>1</v>
      </c>
      <c r="M115" s="55">
        <f t="shared" si="85"/>
        <v>1</v>
      </c>
      <c r="N115" s="55">
        <f t="shared" si="85"/>
        <v>1</v>
      </c>
      <c r="O115" s="55">
        <f t="shared" si="85"/>
        <v>1</v>
      </c>
      <c r="P115" s="55">
        <f t="shared" si="85"/>
        <v>1</v>
      </c>
      <c r="Q115" s="11"/>
      <c r="R115" s="55"/>
      <c r="S115" s="55"/>
      <c r="T115" s="55"/>
      <c r="U115" s="55"/>
      <c r="V115" s="55"/>
      <c r="W115" s="55"/>
      <c r="X115" s="1"/>
    </row>
    <row r="116" spans="1:24" ht="12" hidden="1">
      <c r="A116" s="55" t="s">
        <v>64</v>
      </c>
      <c r="B116" s="55"/>
      <c r="C116" s="55"/>
      <c r="D116" s="55"/>
      <c r="E116" s="55"/>
      <c r="F116" s="55">
        <f aca="true" t="shared" si="86" ref="F116:P116">IF(F112&gt;3.5,1,IF(F112&gt;=0,ERF(F112),IF(F112&gt;-3.5,-ERF(ABS(F112)),-1)))</f>
        <v>-1</v>
      </c>
      <c r="G116" s="55">
        <f t="shared" si="86"/>
        <v>-1</v>
      </c>
      <c r="H116" s="55">
        <f t="shared" si="86"/>
        <v>-1</v>
      </c>
      <c r="I116" s="55">
        <f t="shared" si="86"/>
        <v>-1</v>
      </c>
      <c r="J116" s="55">
        <f t="shared" si="86"/>
        <v>-1</v>
      </c>
      <c r="K116" s="55">
        <f t="shared" si="86"/>
        <v>-1</v>
      </c>
      <c r="L116" s="55">
        <f t="shared" si="86"/>
        <v>-1</v>
      </c>
      <c r="M116" s="55">
        <f t="shared" si="86"/>
        <v>-1</v>
      </c>
      <c r="N116" s="55">
        <f t="shared" si="86"/>
        <v>-1</v>
      </c>
      <c r="O116" s="55">
        <f t="shared" si="86"/>
        <v>-1</v>
      </c>
      <c r="P116" s="55">
        <f t="shared" si="86"/>
        <v>-1</v>
      </c>
      <c r="Q116" s="11"/>
      <c r="R116" s="55"/>
      <c r="S116" s="55"/>
      <c r="T116" s="55"/>
      <c r="U116" s="55"/>
      <c r="V116" s="55"/>
      <c r="W116" s="55"/>
      <c r="X116" s="1"/>
    </row>
    <row r="117" spans="1:24" ht="12" hidden="1">
      <c r="A117" s="11" t="s">
        <v>70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55"/>
      <c r="S117" s="55"/>
      <c r="T117" s="55"/>
      <c r="U117" s="55"/>
      <c r="V117" s="55"/>
      <c r="W117" s="55"/>
      <c r="X117" s="1"/>
    </row>
    <row r="118" spans="1:24" ht="12" hidden="1">
      <c r="A118" s="55" t="s">
        <v>45</v>
      </c>
      <c r="B118" s="55"/>
      <c r="C118" s="55"/>
      <c r="D118" s="55"/>
      <c r="E118" s="55"/>
      <c r="F118" s="55">
        <f aca="true" t="shared" si="87" ref="F118:P118">$C$21/(2*$B$9)</f>
        <v>2.5</v>
      </c>
      <c r="G118" s="55">
        <f t="shared" si="87"/>
        <v>2.5</v>
      </c>
      <c r="H118" s="55">
        <f t="shared" si="87"/>
        <v>2.5</v>
      </c>
      <c r="I118" s="55">
        <f t="shared" si="87"/>
        <v>2.5</v>
      </c>
      <c r="J118" s="55">
        <f t="shared" si="87"/>
        <v>2.5</v>
      </c>
      <c r="K118" s="55">
        <f t="shared" si="87"/>
        <v>2.5</v>
      </c>
      <c r="L118" s="55">
        <f t="shared" si="87"/>
        <v>2.5</v>
      </c>
      <c r="M118" s="55">
        <f t="shared" si="87"/>
        <v>2.5</v>
      </c>
      <c r="N118" s="55">
        <f t="shared" si="87"/>
        <v>2.5</v>
      </c>
      <c r="O118" s="55">
        <f t="shared" si="87"/>
        <v>2.5</v>
      </c>
      <c r="P118" s="55">
        <f t="shared" si="87"/>
        <v>2.5</v>
      </c>
      <c r="Q118" s="11"/>
      <c r="R118" s="55"/>
      <c r="S118" s="55"/>
      <c r="T118" s="55"/>
      <c r="U118" s="55"/>
      <c r="V118" s="55"/>
      <c r="W118" s="55"/>
      <c r="X118" s="1"/>
    </row>
    <row r="119" spans="1:23" ht="12" hidden="1">
      <c r="A119" s="55" t="s">
        <v>46</v>
      </c>
      <c r="B119" s="55"/>
      <c r="C119" s="55"/>
      <c r="D119" s="55"/>
      <c r="E119" s="55"/>
      <c r="F119" s="55">
        <f aca="true" t="shared" si="88" ref="F119:P119">1-(SQRT(1+(4*$E$9*$B$9)/$H$14))</f>
        <v>-0.5880806024884253</v>
      </c>
      <c r="G119" s="55">
        <f t="shared" si="88"/>
        <v>-0.5880806024884253</v>
      </c>
      <c r="H119" s="55">
        <f t="shared" si="88"/>
        <v>-0.5880806024884253</v>
      </c>
      <c r="I119" s="55">
        <f t="shared" si="88"/>
        <v>-0.5880806024884253</v>
      </c>
      <c r="J119" s="55">
        <f t="shared" si="88"/>
        <v>-0.5880806024884253</v>
      </c>
      <c r="K119" s="55">
        <f t="shared" si="88"/>
        <v>-0.5880806024884253</v>
      </c>
      <c r="L119" s="55">
        <f t="shared" si="88"/>
        <v>-0.5880806024884253</v>
      </c>
      <c r="M119" s="55">
        <f t="shared" si="88"/>
        <v>-0.5880806024884253</v>
      </c>
      <c r="N119" s="55">
        <f t="shared" si="88"/>
        <v>-0.5880806024884253</v>
      </c>
      <c r="O119" s="55">
        <f t="shared" si="88"/>
        <v>-0.5880806024884253</v>
      </c>
      <c r="P119" s="55">
        <f t="shared" si="88"/>
        <v>-0.5880806024884253</v>
      </c>
      <c r="Q119" s="11"/>
      <c r="R119" s="11"/>
      <c r="S119" s="11"/>
      <c r="T119" s="11"/>
      <c r="U119" s="11"/>
      <c r="V119" s="11"/>
      <c r="W119" s="11"/>
    </row>
    <row r="120" spans="1:23" ht="12" hidden="1">
      <c r="A120" s="55" t="s">
        <v>47</v>
      </c>
      <c r="B120" s="55"/>
      <c r="C120" s="55"/>
      <c r="D120" s="55" t="s">
        <v>48</v>
      </c>
      <c r="E120" s="55"/>
      <c r="F120" s="55">
        <f aca="true" t="shared" si="89" ref="F120:P120">EXP(F118*F119)</f>
        <v>0.22987915843879847</v>
      </c>
      <c r="G120" s="55">
        <f t="shared" si="89"/>
        <v>0.22987915843879847</v>
      </c>
      <c r="H120" s="55">
        <f t="shared" si="89"/>
        <v>0.22987915843879847</v>
      </c>
      <c r="I120" s="55">
        <f t="shared" si="89"/>
        <v>0.22987915843879847</v>
      </c>
      <c r="J120" s="55">
        <f t="shared" si="89"/>
        <v>0.22987915843879847</v>
      </c>
      <c r="K120" s="55">
        <f t="shared" si="89"/>
        <v>0.22987915843879847</v>
      </c>
      <c r="L120" s="55">
        <f t="shared" si="89"/>
        <v>0.22987915843879847</v>
      </c>
      <c r="M120" s="55">
        <f t="shared" si="89"/>
        <v>0.22987915843879847</v>
      </c>
      <c r="N120" s="55">
        <f t="shared" si="89"/>
        <v>0.22987915843879847</v>
      </c>
      <c r="O120" s="55">
        <f t="shared" si="89"/>
        <v>0.22987915843879847</v>
      </c>
      <c r="P120" s="55">
        <f t="shared" si="89"/>
        <v>0.22987915843879847</v>
      </c>
      <c r="Q120" s="11"/>
      <c r="R120" s="11"/>
      <c r="S120" s="11"/>
      <c r="T120" s="11"/>
      <c r="U120" s="11"/>
      <c r="V120" s="11"/>
      <c r="W120" s="11"/>
    </row>
    <row r="121" spans="1:23" ht="12" hidden="1">
      <c r="A121" s="55" t="s">
        <v>49</v>
      </c>
      <c r="B121" s="55"/>
      <c r="C121" s="55"/>
      <c r="D121" s="55"/>
      <c r="E121" s="55"/>
      <c r="F121" s="55">
        <f aca="true" t="shared" si="90" ref="F121:P121">$H$14*$H$9</f>
        <v>4.204993429697766E+97</v>
      </c>
      <c r="G121" s="55">
        <f t="shared" si="90"/>
        <v>4.204993429697766E+97</v>
      </c>
      <c r="H121" s="55">
        <f t="shared" si="90"/>
        <v>4.204993429697766E+97</v>
      </c>
      <c r="I121" s="55">
        <f t="shared" si="90"/>
        <v>4.204993429697766E+97</v>
      </c>
      <c r="J121" s="55">
        <f t="shared" si="90"/>
        <v>4.204993429697766E+97</v>
      </c>
      <c r="K121" s="55">
        <f t="shared" si="90"/>
        <v>4.204993429697766E+97</v>
      </c>
      <c r="L121" s="55">
        <f t="shared" si="90"/>
        <v>4.204993429697766E+97</v>
      </c>
      <c r="M121" s="55">
        <f t="shared" si="90"/>
        <v>4.204993429697766E+97</v>
      </c>
      <c r="N121" s="55">
        <f t="shared" si="90"/>
        <v>4.204993429697766E+97</v>
      </c>
      <c r="O121" s="55">
        <f t="shared" si="90"/>
        <v>4.204993429697766E+97</v>
      </c>
      <c r="P121" s="55">
        <f t="shared" si="90"/>
        <v>4.204993429697766E+97</v>
      </c>
      <c r="Q121" s="11"/>
      <c r="R121" s="11"/>
      <c r="S121" s="11"/>
      <c r="T121" s="11"/>
      <c r="U121" s="11"/>
      <c r="V121" s="11"/>
      <c r="W121" s="11"/>
    </row>
    <row r="122" spans="1:23" ht="12" hidden="1">
      <c r="A122" s="55" t="s">
        <v>50</v>
      </c>
      <c r="B122" s="55"/>
      <c r="C122" s="55"/>
      <c r="D122" s="55"/>
      <c r="E122" s="55"/>
      <c r="F122" s="55">
        <f aca="true" t="shared" si="91" ref="F122:P122">SQRT(1+(4*$E$9*$B$9/$H$14))</f>
        <v>1.5880806024884253</v>
      </c>
      <c r="G122" s="55">
        <f t="shared" si="91"/>
        <v>1.5880806024884253</v>
      </c>
      <c r="H122" s="55">
        <f t="shared" si="91"/>
        <v>1.5880806024884253</v>
      </c>
      <c r="I122" s="55">
        <f t="shared" si="91"/>
        <v>1.5880806024884253</v>
      </c>
      <c r="J122" s="55">
        <f t="shared" si="91"/>
        <v>1.5880806024884253</v>
      </c>
      <c r="K122" s="55">
        <f t="shared" si="91"/>
        <v>1.5880806024884253</v>
      </c>
      <c r="L122" s="55">
        <f t="shared" si="91"/>
        <v>1.5880806024884253</v>
      </c>
      <c r="M122" s="55">
        <f t="shared" si="91"/>
        <v>1.5880806024884253</v>
      </c>
      <c r="N122" s="55">
        <f t="shared" si="91"/>
        <v>1.5880806024884253</v>
      </c>
      <c r="O122" s="55">
        <f t="shared" si="91"/>
        <v>1.5880806024884253</v>
      </c>
      <c r="P122" s="55">
        <f t="shared" si="91"/>
        <v>1.5880806024884253</v>
      </c>
      <c r="Q122" s="11"/>
      <c r="R122" s="11"/>
      <c r="S122" s="11"/>
      <c r="T122" s="11"/>
      <c r="U122" s="11"/>
      <c r="V122" s="11"/>
      <c r="W122" s="11"/>
    </row>
    <row r="123" spans="1:23" ht="12" hidden="1">
      <c r="A123" s="55" t="s">
        <v>51</v>
      </c>
      <c r="B123" s="55"/>
      <c r="C123" s="55"/>
      <c r="D123" s="55"/>
      <c r="E123" s="55"/>
      <c r="F123" s="55">
        <f aca="true" t="shared" si="92" ref="F123:P123">($C$21-(F121*F122))/F124</f>
        <v>-1.1513575373063837E+48</v>
      </c>
      <c r="G123" s="55">
        <f t="shared" si="92"/>
        <v>-1.1513575373063837E+48</v>
      </c>
      <c r="H123" s="55">
        <f t="shared" si="92"/>
        <v>-1.1513575373063837E+48</v>
      </c>
      <c r="I123" s="55">
        <f t="shared" si="92"/>
        <v>-1.1513575373063837E+48</v>
      </c>
      <c r="J123" s="55">
        <f t="shared" si="92"/>
        <v>-1.1513575373063837E+48</v>
      </c>
      <c r="K123" s="55">
        <f t="shared" si="92"/>
        <v>-1.1513575373063837E+48</v>
      </c>
      <c r="L123" s="55">
        <f t="shared" si="92"/>
        <v>-1.1513575373063837E+48</v>
      </c>
      <c r="M123" s="55">
        <f t="shared" si="92"/>
        <v>-1.1513575373063837E+48</v>
      </c>
      <c r="N123" s="55">
        <f t="shared" si="92"/>
        <v>-1.1513575373063837E+48</v>
      </c>
      <c r="O123" s="55">
        <f t="shared" si="92"/>
        <v>-1.1513575373063837E+48</v>
      </c>
      <c r="P123" s="55">
        <f t="shared" si="92"/>
        <v>-1.1513575373063837E+48</v>
      </c>
      <c r="Q123" s="11"/>
      <c r="R123" s="11"/>
      <c r="S123" s="11"/>
      <c r="T123" s="11"/>
      <c r="U123" s="11"/>
      <c r="V123" s="11"/>
      <c r="W123" s="11"/>
    </row>
    <row r="124" spans="1:23" ht="12" hidden="1">
      <c r="A124" s="55" t="s">
        <v>52</v>
      </c>
      <c r="B124" s="55"/>
      <c r="C124" s="55"/>
      <c r="D124" s="55"/>
      <c r="E124" s="55"/>
      <c r="F124" s="55">
        <f aca="true" t="shared" si="93" ref="F124:P124">2*SQRT($B$9*$H$14*$H$9)</f>
        <v>5.79999546875531E+49</v>
      </c>
      <c r="G124" s="55">
        <f t="shared" si="93"/>
        <v>5.79999546875531E+49</v>
      </c>
      <c r="H124" s="55">
        <f t="shared" si="93"/>
        <v>5.79999546875531E+49</v>
      </c>
      <c r="I124" s="55">
        <f t="shared" si="93"/>
        <v>5.79999546875531E+49</v>
      </c>
      <c r="J124" s="55">
        <f t="shared" si="93"/>
        <v>5.79999546875531E+49</v>
      </c>
      <c r="K124" s="55">
        <f t="shared" si="93"/>
        <v>5.79999546875531E+49</v>
      </c>
      <c r="L124" s="55">
        <f t="shared" si="93"/>
        <v>5.79999546875531E+49</v>
      </c>
      <c r="M124" s="55">
        <f t="shared" si="93"/>
        <v>5.79999546875531E+49</v>
      </c>
      <c r="N124" s="55">
        <f t="shared" si="93"/>
        <v>5.79999546875531E+49</v>
      </c>
      <c r="O124" s="55">
        <f t="shared" si="93"/>
        <v>5.79999546875531E+49</v>
      </c>
      <c r="P124" s="55">
        <f t="shared" si="93"/>
        <v>5.79999546875531E+49</v>
      </c>
      <c r="Q124" s="11"/>
      <c r="R124" s="11"/>
      <c r="S124" s="11"/>
      <c r="T124" s="11"/>
      <c r="U124" s="11"/>
      <c r="V124" s="11"/>
      <c r="W124" s="11"/>
    </row>
    <row r="125" spans="1:23" ht="12" hidden="1">
      <c r="A125" s="55" t="s">
        <v>53</v>
      </c>
      <c r="B125" s="55"/>
      <c r="C125" s="55"/>
      <c r="D125" s="55"/>
      <c r="E125" s="55"/>
      <c r="F125" s="55">
        <f aca="true" t="shared" si="94" ref="F125:P125">(F122*F123)/F124</f>
        <v>-0.031525</v>
      </c>
      <c r="G125" s="55">
        <f t="shared" si="94"/>
        <v>-0.031525</v>
      </c>
      <c r="H125" s="55">
        <f t="shared" si="94"/>
        <v>-0.031525</v>
      </c>
      <c r="I125" s="55">
        <f t="shared" si="94"/>
        <v>-0.031525</v>
      </c>
      <c r="J125" s="55">
        <f t="shared" si="94"/>
        <v>-0.031525</v>
      </c>
      <c r="K125" s="55">
        <f t="shared" si="94"/>
        <v>-0.031525</v>
      </c>
      <c r="L125" s="55">
        <f t="shared" si="94"/>
        <v>-0.031525</v>
      </c>
      <c r="M125" s="55">
        <f t="shared" si="94"/>
        <v>-0.031525</v>
      </c>
      <c r="N125" s="55">
        <f t="shared" si="94"/>
        <v>-0.031525</v>
      </c>
      <c r="O125" s="55">
        <f t="shared" si="94"/>
        <v>-0.031525</v>
      </c>
      <c r="P125" s="55">
        <f t="shared" si="94"/>
        <v>-0.031525</v>
      </c>
      <c r="Q125" s="11"/>
      <c r="R125" s="11"/>
      <c r="S125" s="11"/>
      <c r="T125" s="11"/>
      <c r="U125" s="11"/>
      <c r="V125" s="11"/>
      <c r="W125" s="11"/>
    </row>
    <row r="126" spans="1:23" ht="12" hidden="1">
      <c r="A126" s="55" t="s">
        <v>54</v>
      </c>
      <c r="B126" s="55"/>
      <c r="C126" s="55"/>
      <c r="D126" s="55"/>
      <c r="E126" s="55"/>
      <c r="F126" s="55">
        <f aca="true" t="shared" si="95" ref="F126:P126">IF(F123&gt;10,0,IF(F123&gt;=0,ERFC(F123),IF(F123&lt;-3.75,2,1+ERF(ABS(F123)))))</f>
        <v>2</v>
      </c>
      <c r="G126" s="55">
        <f t="shared" si="95"/>
        <v>2</v>
      </c>
      <c r="H126" s="55">
        <f t="shared" si="95"/>
        <v>2</v>
      </c>
      <c r="I126" s="55">
        <f t="shared" si="95"/>
        <v>2</v>
      </c>
      <c r="J126" s="55">
        <f t="shared" si="95"/>
        <v>2</v>
      </c>
      <c r="K126" s="55">
        <f t="shared" si="95"/>
        <v>2</v>
      </c>
      <c r="L126" s="55">
        <f t="shared" si="95"/>
        <v>2</v>
      </c>
      <c r="M126" s="55">
        <f t="shared" si="95"/>
        <v>2</v>
      </c>
      <c r="N126" s="55">
        <f t="shared" si="95"/>
        <v>2</v>
      </c>
      <c r="O126" s="55">
        <f t="shared" si="95"/>
        <v>2</v>
      </c>
      <c r="P126" s="55">
        <f t="shared" si="95"/>
        <v>2</v>
      </c>
      <c r="Q126" s="11"/>
      <c r="R126" s="11"/>
      <c r="S126" s="11"/>
      <c r="T126" s="11"/>
      <c r="U126" s="11"/>
      <c r="V126" s="11"/>
      <c r="W126" s="11"/>
    </row>
    <row r="127" spans="1:23" ht="12" hidden="1">
      <c r="A127" s="55" t="s">
        <v>55</v>
      </c>
      <c r="B127" s="55"/>
      <c r="C127" s="55"/>
      <c r="D127" s="55"/>
      <c r="E127" s="55"/>
      <c r="F127" s="55">
        <f aca="true" t="shared" si="96" ref="F127:P127">2*SQRT($C$9*$C$21)</f>
        <v>20</v>
      </c>
      <c r="G127" s="55">
        <f t="shared" si="96"/>
        <v>20</v>
      </c>
      <c r="H127" s="55">
        <f t="shared" si="96"/>
        <v>20</v>
      </c>
      <c r="I127" s="55">
        <f t="shared" si="96"/>
        <v>20</v>
      </c>
      <c r="J127" s="55">
        <f t="shared" si="96"/>
        <v>20</v>
      </c>
      <c r="K127" s="55">
        <f t="shared" si="96"/>
        <v>20</v>
      </c>
      <c r="L127" s="55">
        <f t="shared" si="96"/>
        <v>20</v>
      </c>
      <c r="M127" s="55">
        <f t="shared" si="96"/>
        <v>20</v>
      </c>
      <c r="N127" s="55">
        <f t="shared" si="96"/>
        <v>20</v>
      </c>
      <c r="O127" s="55">
        <f t="shared" si="96"/>
        <v>20</v>
      </c>
      <c r="P127" s="55">
        <f t="shared" si="96"/>
        <v>20</v>
      </c>
      <c r="Q127" s="11"/>
      <c r="R127" s="11"/>
      <c r="S127" s="11"/>
      <c r="T127" s="11"/>
      <c r="U127" s="11"/>
      <c r="V127" s="11"/>
      <c r="W127" s="11"/>
    </row>
    <row r="128" spans="1:23" ht="12" hidden="1">
      <c r="A128" s="55" t="s">
        <v>56</v>
      </c>
      <c r="B128" s="55"/>
      <c r="C128" s="55"/>
      <c r="D128" s="55"/>
      <c r="E128" s="55"/>
      <c r="F128" s="55">
        <f aca="true" t="shared" si="97" ref="F128:P128">2*SQRT($D$9*$C$21)</f>
        <v>0.2</v>
      </c>
      <c r="G128" s="55">
        <f t="shared" si="97"/>
        <v>0.2</v>
      </c>
      <c r="H128" s="55">
        <f t="shared" si="97"/>
        <v>0.2</v>
      </c>
      <c r="I128" s="55">
        <f t="shared" si="97"/>
        <v>0.2</v>
      </c>
      <c r="J128" s="55">
        <f t="shared" si="97"/>
        <v>0.2</v>
      </c>
      <c r="K128" s="55">
        <f t="shared" si="97"/>
        <v>0.2</v>
      </c>
      <c r="L128" s="55">
        <f t="shared" si="97"/>
        <v>0.2</v>
      </c>
      <c r="M128" s="55">
        <f t="shared" si="97"/>
        <v>0.2</v>
      </c>
      <c r="N128" s="55">
        <f t="shared" si="97"/>
        <v>0.2</v>
      </c>
      <c r="O128" s="55">
        <f t="shared" si="97"/>
        <v>0.2</v>
      </c>
      <c r="P128" s="55">
        <f t="shared" si="97"/>
        <v>0.2</v>
      </c>
      <c r="Q128" s="11"/>
      <c r="R128" s="11"/>
      <c r="S128" s="11"/>
      <c r="T128" s="11"/>
      <c r="U128" s="11"/>
      <c r="V128" s="11"/>
      <c r="W128" s="11"/>
    </row>
    <row r="129" spans="1:23" ht="12" hidden="1">
      <c r="A129" s="55" t="s">
        <v>57</v>
      </c>
      <c r="B129" s="55"/>
      <c r="C129" s="55"/>
      <c r="D129" s="55"/>
      <c r="E129" s="55"/>
      <c r="F129" s="55">
        <f aca="true" t="shared" si="98" ref="F129:P129">((E$16+($F$9/2))/F127)</f>
        <v>-2.19375</v>
      </c>
      <c r="G129" s="55">
        <f t="shared" si="98"/>
        <v>-1.2550000000000003</v>
      </c>
      <c r="H129" s="55">
        <f t="shared" si="98"/>
        <v>-0.3162499999999998</v>
      </c>
      <c r="I129" s="55">
        <f t="shared" si="98"/>
        <v>0.6224999999999998</v>
      </c>
      <c r="J129" s="55">
        <f t="shared" si="98"/>
        <v>1.5612499999999998</v>
      </c>
      <c r="K129" s="55">
        <f t="shared" si="98"/>
        <v>2.5</v>
      </c>
      <c r="L129" s="55">
        <f t="shared" si="98"/>
        <v>3.43875</v>
      </c>
      <c r="M129" s="55">
        <f t="shared" si="98"/>
        <v>4.3775</v>
      </c>
      <c r="N129" s="55">
        <f t="shared" si="98"/>
        <v>5.316249999999999</v>
      </c>
      <c r="O129" s="55">
        <f t="shared" si="98"/>
        <v>6.255000000000001</v>
      </c>
      <c r="P129" s="55">
        <f t="shared" si="98"/>
        <v>7.19375</v>
      </c>
      <c r="Q129" s="11"/>
      <c r="R129" s="11"/>
      <c r="S129" s="11"/>
      <c r="T129" s="11"/>
      <c r="U129" s="11"/>
      <c r="V129" s="11"/>
      <c r="W129" s="11"/>
    </row>
    <row r="130" spans="1:23" ht="12" hidden="1">
      <c r="A130" s="55" t="s">
        <v>58</v>
      </c>
      <c r="B130" s="55"/>
      <c r="C130" s="55"/>
      <c r="D130" s="55"/>
      <c r="E130" s="55"/>
      <c r="F130" s="55">
        <f aca="true" t="shared" si="99" ref="F130:P130">((E$16-($F$9/2))/F127)</f>
        <v>-7.19375</v>
      </c>
      <c r="G130" s="55">
        <f t="shared" si="99"/>
        <v>-6.255000000000001</v>
      </c>
      <c r="H130" s="55">
        <f t="shared" si="99"/>
        <v>-5.316249999999999</v>
      </c>
      <c r="I130" s="55">
        <f t="shared" si="99"/>
        <v>-4.3775</v>
      </c>
      <c r="J130" s="55">
        <f t="shared" si="99"/>
        <v>-3.43875</v>
      </c>
      <c r="K130" s="55">
        <f t="shared" si="99"/>
        <v>-2.5</v>
      </c>
      <c r="L130" s="55">
        <f t="shared" si="99"/>
        <v>-1.5612499999999998</v>
      </c>
      <c r="M130" s="55">
        <f t="shared" si="99"/>
        <v>-0.6224999999999998</v>
      </c>
      <c r="N130" s="55">
        <f t="shared" si="99"/>
        <v>0.3162499999999998</v>
      </c>
      <c r="O130" s="55">
        <f t="shared" si="99"/>
        <v>1.2550000000000003</v>
      </c>
      <c r="P130" s="55">
        <f t="shared" si="99"/>
        <v>2.19375</v>
      </c>
      <c r="Q130" s="11"/>
      <c r="R130" s="11"/>
      <c r="S130" s="11"/>
      <c r="T130" s="11"/>
      <c r="U130" s="11"/>
      <c r="V130" s="11"/>
      <c r="W130" s="11"/>
    </row>
    <row r="131" spans="1:23" ht="12" hidden="1">
      <c r="A131" s="55" t="s">
        <v>59</v>
      </c>
      <c r="B131" s="55"/>
      <c r="C131" s="55"/>
      <c r="D131" s="55"/>
      <c r="E131" s="55"/>
      <c r="F131" s="55">
        <f aca="true" t="shared" si="100" ref="F131:P131">($D$21+$G$9)/F128</f>
        <v>29.124</v>
      </c>
      <c r="G131" s="55">
        <f t="shared" si="100"/>
        <v>29.124</v>
      </c>
      <c r="H131" s="55">
        <f t="shared" si="100"/>
        <v>29.124</v>
      </c>
      <c r="I131" s="55">
        <f t="shared" si="100"/>
        <v>29.124</v>
      </c>
      <c r="J131" s="55">
        <f t="shared" si="100"/>
        <v>29.124</v>
      </c>
      <c r="K131" s="55">
        <f t="shared" si="100"/>
        <v>29.124</v>
      </c>
      <c r="L131" s="55">
        <f t="shared" si="100"/>
        <v>29.124</v>
      </c>
      <c r="M131" s="55">
        <f t="shared" si="100"/>
        <v>29.124</v>
      </c>
      <c r="N131" s="55">
        <f t="shared" si="100"/>
        <v>29.124</v>
      </c>
      <c r="O131" s="55">
        <f t="shared" si="100"/>
        <v>29.124</v>
      </c>
      <c r="P131" s="55">
        <f t="shared" si="100"/>
        <v>29.124</v>
      </c>
      <c r="Q131" s="11"/>
      <c r="R131" s="11"/>
      <c r="S131" s="11"/>
      <c r="T131" s="11"/>
      <c r="U131" s="11"/>
      <c r="V131" s="11"/>
      <c r="W131" s="11"/>
    </row>
    <row r="132" spans="1:23" ht="12" hidden="1">
      <c r="A132" s="55" t="s">
        <v>60</v>
      </c>
      <c r="B132" s="55"/>
      <c r="C132" s="55"/>
      <c r="D132" s="55"/>
      <c r="E132" s="55"/>
      <c r="F132" s="55">
        <f aca="true" t="shared" si="101" ref="F132:P132">($D$21-$G$9)/F128</f>
        <v>-70.87599999999999</v>
      </c>
      <c r="G132" s="55">
        <f t="shared" si="101"/>
        <v>-70.87599999999999</v>
      </c>
      <c r="H132" s="55">
        <f t="shared" si="101"/>
        <v>-70.87599999999999</v>
      </c>
      <c r="I132" s="55">
        <f t="shared" si="101"/>
        <v>-70.87599999999999</v>
      </c>
      <c r="J132" s="55">
        <f t="shared" si="101"/>
        <v>-70.87599999999999</v>
      </c>
      <c r="K132" s="55">
        <f t="shared" si="101"/>
        <v>-70.87599999999999</v>
      </c>
      <c r="L132" s="55">
        <f t="shared" si="101"/>
        <v>-70.87599999999999</v>
      </c>
      <c r="M132" s="55">
        <f t="shared" si="101"/>
        <v>-70.87599999999999</v>
      </c>
      <c r="N132" s="55">
        <f t="shared" si="101"/>
        <v>-70.87599999999999</v>
      </c>
      <c r="O132" s="55">
        <f t="shared" si="101"/>
        <v>-70.87599999999999</v>
      </c>
      <c r="P132" s="55">
        <f t="shared" si="101"/>
        <v>-70.87599999999999</v>
      </c>
      <c r="Q132" s="11"/>
      <c r="R132" s="11"/>
      <c r="S132" s="11"/>
      <c r="T132" s="11"/>
      <c r="U132" s="11"/>
      <c r="V132" s="11"/>
      <c r="W132" s="11"/>
    </row>
    <row r="133" spans="1:23" ht="12" hidden="1">
      <c r="A133" s="55" t="s">
        <v>61</v>
      </c>
      <c r="B133" s="55"/>
      <c r="C133" s="55"/>
      <c r="D133" s="55"/>
      <c r="E133" s="55"/>
      <c r="F133" s="55">
        <f aca="true" t="shared" si="102" ref="F133:P133">IF(F129&gt;3.5,1,IF(F129&gt;=0,ERF(F129),IF(F129&gt;-3.5,-ERF(ABS(F129)),-1)))</f>
        <v>-0.9980806171492725</v>
      </c>
      <c r="G133" s="55">
        <f t="shared" si="102"/>
        <v>-0.9240753635215959</v>
      </c>
      <c r="H133" s="55">
        <f t="shared" si="102"/>
        <v>-0.3453018547117728</v>
      </c>
      <c r="I133" s="55">
        <f t="shared" si="102"/>
        <v>0.6213291518057229</v>
      </c>
      <c r="J133" s="55">
        <f t="shared" si="102"/>
        <v>0.97275160844547</v>
      </c>
      <c r="K133" s="55">
        <f t="shared" si="102"/>
        <v>0.999593047982555</v>
      </c>
      <c r="L133" s="55">
        <f t="shared" si="102"/>
        <v>0.9999988445427717</v>
      </c>
      <c r="M133" s="55">
        <f t="shared" si="102"/>
        <v>1</v>
      </c>
      <c r="N133" s="55">
        <f t="shared" si="102"/>
        <v>1</v>
      </c>
      <c r="O133" s="55">
        <f t="shared" si="102"/>
        <v>1</v>
      </c>
      <c r="P133" s="55">
        <f t="shared" si="102"/>
        <v>1</v>
      </c>
      <c r="Q133" s="11"/>
      <c r="R133" s="11"/>
      <c r="S133" s="11"/>
      <c r="T133" s="11"/>
      <c r="U133" s="11"/>
      <c r="V133" s="11"/>
      <c r="W133" s="11"/>
    </row>
    <row r="134" spans="1:23" ht="12" hidden="1">
      <c r="A134" s="55" t="s">
        <v>62</v>
      </c>
      <c r="B134" s="55"/>
      <c r="C134" s="55"/>
      <c r="D134" s="55"/>
      <c r="E134" s="55"/>
      <c r="F134" s="55">
        <f aca="true" t="shared" si="103" ref="F134:P134">IF(F130&gt;3.5,1,IF(F130&gt;=0,ERF(F130),IF(F130&gt;-3.5,-ERF(ABS(F130)),-1)))</f>
        <v>-1</v>
      </c>
      <c r="G134" s="55">
        <f t="shared" si="103"/>
        <v>-1</v>
      </c>
      <c r="H134" s="55">
        <f t="shared" si="103"/>
        <v>-1</v>
      </c>
      <c r="I134" s="55">
        <f t="shared" si="103"/>
        <v>-1</v>
      </c>
      <c r="J134" s="55">
        <f t="shared" si="103"/>
        <v>-0.9999988445427717</v>
      </c>
      <c r="K134" s="55">
        <f t="shared" si="103"/>
        <v>-0.999593047982555</v>
      </c>
      <c r="L134" s="55">
        <f t="shared" si="103"/>
        <v>-0.97275160844547</v>
      </c>
      <c r="M134" s="55">
        <f t="shared" si="103"/>
        <v>-0.6213291518057229</v>
      </c>
      <c r="N134" s="55">
        <f t="shared" si="103"/>
        <v>0.3453018547117728</v>
      </c>
      <c r="O134" s="55">
        <f t="shared" si="103"/>
        <v>0.9240753635215959</v>
      </c>
      <c r="P134" s="55">
        <f t="shared" si="103"/>
        <v>0.9980806171492725</v>
      </c>
      <c r="Q134" s="11"/>
      <c r="R134" s="11"/>
      <c r="S134" s="11"/>
      <c r="T134" s="11"/>
      <c r="U134" s="11"/>
      <c r="V134" s="11"/>
      <c r="W134" s="11"/>
    </row>
    <row r="135" spans="1:23" ht="12" hidden="1">
      <c r="A135" s="55" t="s">
        <v>63</v>
      </c>
      <c r="B135" s="55"/>
      <c r="C135" s="55"/>
      <c r="D135" s="55"/>
      <c r="E135" s="55"/>
      <c r="F135" s="55">
        <f aca="true" t="shared" si="104" ref="F135:P135">IF(F131&gt;3.5,1,IF(F131&gt;=0,ERF(F131),IF(F131&gt;-3.5,-ERF(ABS(F131)),-1)))</f>
        <v>1</v>
      </c>
      <c r="G135" s="55">
        <f t="shared" si="104"/>
        <v>1</v>
      </c>
      <c r="H135" s="55">
        <f t="shared" si="104"/>
        <v>1</v>
      </c>
      <c r="I135" s="55">
        <f t="shared" si="104"/>
        <v>1</v>
      </c>
      <c r="J135" s="55">
        <f t="shared" si="104"/>
        <v>1</v>
      </c>
      <c r="K135" s="55">
        <f t="shared" si="104"/>
        <v>1</v>
      </c>
      <c r="L135" s="55">
        <f t="shared" si="104"/>
        <v>1</v>
      </c>
      <c r="M135" s="55">
        <f t="shared" si="104"/>
        <v>1</v>
      </c>
      <c r="N135" s="55">
        <f t="shared" si="104"/>
        <v>1</v>
      </c>
      <c r="O135" s="55">
        <f t="shared" si="104"/>
        <v>1</v>
      </c>
      <c r="P135" s="55">
        <f t="shared" si="104"/>
        <v>1</v>
      </c>
      <c r="Q135" s="11"/>
      <c r="R135" s="11"/>
      <c r="S135" s="11"/>
      <c r="T135" s="11"/>
      <c r="U135" s="11"/>
      <c r="V135" s="11"/>
      <c r="W135" s="11"/>
    </row>
    <row r="136" spans="1:23" ht="12" hidden="1">
      <c r="A136" s="55" t="s">
        <v>64</v>
      </c>
      <c r="B136" s="55"/>
      <c r="C136" s="55"/>
      <c r="D136" s="55"/>
      <c r="E136" s="55"/>
      <c r="F136" s="55">
        <f aca="true" t="shared" si="105" ref="F136:P136">IF(F132&gt;3.5,1,IF(F132&gt;=0,ERF(F132),IF(F132&gt;-3.5,-ERF(ABS(F132)),-1)))</f>
        <v>-1</v>
      </c>
      <c r="G136" s="55">
        <f t="shared" si="105"/>
        <v>-1</v>
      </c>
      <c r="H136" s="55">
        <f t="shared" si="105"/>
        <v>-1</v>
      </c>
      <c r="I136" s="55">
        <f t="shared" si="105"/>
        <v>-1</v>
      </c>
      <c r="J136" s="55">
        <f t="shared" si="105"/>
        <v>-1</v>
      </c>
      <c r="K136" s="55">
        <f t="shared" si="105"/>
        <v>-1</v>
      </c>
      <c r="L136" s="55">
        <f t="shared" si="105"/>
        <v>-1</v>
      </c>
      <c r="M136" s="55">
        <f t="shared" si="105"/>
        <v>-1</v>
      </c>
      <c r="N136" s="55">
        <f t="shared" si="105"/>
        <v>-1</v>
      </c>
      <c r="O136" s="55">
        <f t="shared" si="105"/>
        <v>-1</v>
      </c>
      <c r="P136" s="55">
        <f t="shared" si="105"/>
        <v>-1</v>
      </c>
      <c r="Q136" s="11"/>
      <c r="R136" s="11"/>
      <c r="S136" s="11"/>
      <c r="T136" s="11"/>
      <c r="U136" s="11"/>
      <c r="V136" s="11"/>
      <c r="W136" s="11"/>
    </row>
    <row r="137" spans="1:23" ht="12" hidden="1">
      <c r="A137" s="11" t="s">
        <v>71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2" hidden="1">
      <c r="A138" s="55" t="s">
        <v>45</v>
      </c>
      <c r="B138" s="55"/>
      <c r="C138" s="55"/>
      <c r="D138" s="55"/>
      <c r="E138" s="55"/>
      <c r="F138" s="55">
        <f aca="true" t="shared" si="106" ref="F138:P138">$C$21/(2*$B$9)</f>
        <v>2.5</v>
      </c>
      <c r="G138" s="55">
        <f t="shared" si="106"/>
        <v>2.5</v>
      </c>
      <c r="H138" s="55">
        <f t="shared" si="106"/>
        <v>2.5</v>
      </c>
      <c r="I138" s="55">
        <f t="shared" si="106"/>
        <v>2.5</v>
      </c>
      <c r="J138" s="55">
        <f t="shared" si="106"/>
        <v>2.5</v>
      </c>
      <c r="K138" s="55">
        <f t="shared" si="106"/>
        <v>2.5</v>
      </c>
      <c r="L138" s="55">
        <f t="shared" si="106"/>
        <v>2.5</v>
      </c>
      <c r="M138" s="55">
        <f t="shared" si="106"/>
        <v>2.5</v>
      </c>
      <c r="N138" s="55">
        <f t="shared" si="106"/>
        <v>2.5</v>
      </c>
      <c r="O138" s="55">
        <f t="shared" si="106"/>
        <v>2.5</v>
      </c>
      <c r="P138" s="55">
        <f t="shared" si="106"/>
        <v>2.5</v>
      </c>
      <c r="Q138" s="11"/>
      <c r="R138" s="11"/>
      <c r="S138" s="11"/>
      <c r="T138" s="11"/>
      <c r="U138" s="11"/>
      <c r="V138" s="11"/>
      <c r="W138" s="11"/>
    </row>
    <row r="139" spans="1:23" ht="12" hidden="1">
      <c r="A139" s="55" t="s">
        <v>46</v>
      </c>
      <c r="B139" s="55"/>
      <c r="C139" s="55"/>
      <c r="D139" s="55"/>
      <c r="E139" s="55"/>
      <c r="F139" s="55">
        <f aca="true" t="shared" si="107" ref="F139:P139">1-(SQRT(1+(4*$E$9*$B$9)/$H$14))</f>
        <v>-0.5880806024884253</v>
      </c>
      <c r="G139" s="55">
        <f t="shared" si="107"/>
        <v>-0.5880806024884253</v>
      </c>
      <c r="H139" s="55">
        <f t="shared" si="107"/>
        <v>-0.5880806024884253</v>
      </c>
      <c r="I139" s="55">
        <f t="shared" si="107"/>
        <v>-0.5880806024884253</v>
      </c>
      <c r="J139" s="55">
        <f t="shared" si="107"/>
        <v>-0.5880806024884253</v>
      </c>
      <c r="K139" s="55">
        <f t="shared" si="107"/>
        <v>-0.5880806024884253</v>
      </c>
      <c r="L139" s="55">
        <f t="shared" si="107"/>
        <v>-0.5880806024884253</v>
      </c>
      <c r="M139" s="55">
        <f t="shared" si="107"/>
        <v>-0.5880806024884253</v>
      </c>
      <c r="N139" s="55">
        <f t="shared" si="107"/>
        <v>-0.5880806024884253</v>
      </c>
      <c r="O139" s="55">
        <f t="shared" si="107"/>
        <v>-0.5880806024884253</v>
      </c>
      <c r="P139" s="55">
        <f t="shared" si="107"/>
        <v>-0.5880806024884253</v>
      </c>
      <c r="Q139" s="11"/>
      <c r="R139" s="11"/>
      <c r="S139" s="11"/>
      <c r="T139" s="11"/>
      <c r="U139" s="11"/>
      <c r="V139" s="11"/>
      <c r="W139" s="11"/>
    </row>
    <row r="140" spans="1:23" ht="12" hidden="1">
      <c r="A140" s="55" t="s">
        <v>47</v>
      </c>
      <c r="B140" s="55"/>
      <c r="C140" s="55"/>
      <c r="D140" s="55" t="s">
        <v>48</v>
      </c>
      <c r="E140" s="55"/>
      <c r="F140" s="55">
        <f aca="true" t="shared" si="108" ref="F140:P140">EXP(F138*F139)</f>
        <v>0.22987915843879847</v>
      </c>
      <c r="G140" s="55">
        <f t="shared" si="108"/>
        <v>0.22987915843879847</v>
      </c>
      <c r="H140" s="55">
        <f t="shared" si="108"/>
        <v>0.22987915843879847</v>
      </c>
      <c r="I140" s="55">
        <f t="shared" si="108"/>
        <v>0.22987915843879847</v>
      </c>
      <c r="J140" s="55">
        <f t="shared" si="108"/>
        <v>0.22987915843879847</v>
      </c>
      <c r="K140" s="55">
        <f t="shared" si="108"/>
        <v>0.22987915843879847</v>
      </c>
      <c r="L140" s="55">
        <f t="shared" si="108"/>
        <v>0.22987915843879847</v>
      </c>
      <c r="M140" s="55">
        <f t="shared" si="108"/>
        <v>0.22987915843879847</v>
      </c>
      <c r="N140" s="55">
        <f t="shared" si="108"/>
        <v>0.22987915843879847</v>
      </c>
      <c r="O140" s="55">
        <f t="shared" si="108"/>
        <v>0.22987915843879847</v>
      </c>
      <c r="P140" s="55">
        <f t="shared" si="108"/>
        <v>0.22987915843879847</v>
      </c>
      <c r="Q140" s="11"/>
      <c r="R140" s="11"/>
      <c r="S140" s="11"/>
      <c r="T140" s="11"/>
      <c r="U140" s="11"/>
      <c r="V140" s="11"/>
      <c r="W140" s="11"/>
    </row>
    <row r="141" spans="1:23" ht="12" hidden="1">
      <c r="A141" s="55" t="s">
        <v>49</v>
      </c>
      <c r="B141" s="55"/>
      <c r="C141" s="55"/>
      <c r="D141" s="55"/>
      <c r="E141" s="55"/>
      <c r="F141" s="55">
        <f aca="true" t="shared" si="109" ref="F141:P141">$H$14*$H$9</f>
        <v>4.204993429697766E+97</v>
      </c>
      <c r="G141" s="55">
        <f t="shared" si="109"/>
        <v>4.204993429697766E+97</v>
      </c>
      <c r="H141" s="55">
        <f t="shared" si="109"/>
        <v>4.204993429697766E+97</v>
      </c>
      <c r="I141" s="55">
        <f t="shared" si="109"/>
        <v>4.204993429697766E+97</v>
      </c>
      <c r="J141" s="55">
        <f t="shared" si="109"/>
        <v>4.204993429697766E+97</v>
      </c>
      <c r="K141" s="55">
        <f t="shared" si="109"/>
        <v>4.204993429697766E+97</v>
      </c>
      <c r="L141" s="55">
        <f t="shared" si="109"/>
        <v>4.204993429697766E+97</v>
      </c>
      <c r="M141" s="55">
        <f t="shared" si="109"/>
        <v>4.204993429697766E+97</v>
      </c>
      <c r="N141" s="55">
        <f t="shared" si="109"/>
        <v>4.204993429697766E+97</v>
      </c>
      <c r="O141" s="55">
        <f t="shared" si="109"/>
        <v>4.204993429697766E+97</v>
      </c>
      <c r="P141" s="55">
        <f t="shared" si="109"/>
        <v>4.204993429697766E+97</v>
      </c>
      <c r="Q141" s="11"/>
      <c r="R141" s="11"/>
      <c r="S141" s="11"/>
      <c r="T141" s="11"/>
      <c r="U141" s="11"/>
      <c r="V141" s="11"/>
      <c r="W141" s="11"/>
    </row>
    <row r="142" spans="1:23" ht="12" hidden="1">
      <c r="A142" s="55" t="s">
        <v>50</v>
      </c>
      <c r="B142" s="55"/>
      <c r="C142" s="55"/>
      <c r="D142" s="55"/>
      <c r="E142" s="55"/>
      <c r="F142" s="55">
        <f aca="true" t="shared" si="110" ref="F142:P142">SQRT(1+(4*$E$9*$B$9/$H$14))</f>
        <v>1.5880806024884253</v>
      </c>
      <c r="G142" s="55">
        <f t="shared" si="110"/>
        <v>1.5880806024884253</v>
      </c>
      <c r="H142" s="55">
        <f t="shared" si="110"/>
        <v>1.5880806024884253</v>
      </c>
      <c r="I142" s="55">
        <f t="shared" si="110"/>
        <v>1.5880806024884253</v>
      </c>
      <c r="J142" s="55">
        <f t="shared" si="110"/>
        <v>1.5880806024884253</v>
      </c>
      <c r="K142" s="55">
        <f t="shared" si="110"/>
        <v>1.5880806024884253</v>
      </c>
      <c r="L142" s="55">
        <f t="shared" si="110"/>
        <v>1.5880806024884253</v>
      </c>
      <c r="M142" s="55">
        <f t="shared" si="110"/>
        <v>1.5880806024884253</v>
      </c>
      <c r="N142" s="55">
        <f t="shared" si="110"/>
        <v>1.5880806024884253</v>
      </c>
      <c r="O142" s="55">
        <f t="shared" si="110"/>
        <v>1.5880806024884253</v>
      </c>
      <c r="P142" s="55">
        <f t="shared" si="110"/>
        <v>1.5880806024884253</v>
      </c>
      <c r="Q142" s="11"/>
      <c r="R142" s="11"/>
      <c r="S142" s="11"/>
      <c r="T142" s="11"/>
      <c r="U142" s="11"/>
      <c r="V142" s="11"/>
      <c r="W142" s="11"/>
    </row>
    <row r="143" spans="1:23" ht="12" hidden="1">
      <c r="A143" s="55" t="s">
        <v>51</v>
      </c>
      <c r="B143" s="55"/>
      <c r="C143" s="55"/>
      <c r="D143" s="55"/>
      <c r="E143" s="55"/>
      <c r="F143" s="55">
        <f aca="true" t="shared" si="111" ref="F143:P143">($C$21-(F141*F142))/F144</f>
        <v>-1.1513575373063837E+48</v>
      </c>
      <c r="G143" s="55">
        <f t="shared" si="111"/>
        <v>-1.1513575373063837E+48</v>
      </c>
      <c r="H143" s="55">
        <f t="shared" si="111"/>
        <v>-1.1513575373063837E+48</v>
      </c>
      <c r="I143" s="55">
        <f t="shared" si="111"/>
        <v>-1.1513575373063837E+48</v>
      </c>
      <c r="J143" s="55">
        <f t="shared" si="111"/>
        <v>-1.1513575373063837E+48</v>
      </c>
      <c r="K143" s="55">
        <f t="shared" si="111"/>
        <v>-1.1513575373063837E+48</v>
      </c>
      <c r="L143" s="55">
        <f t="shared" si="111"/>
        <v>-1.1513575373063837E+48</v>
      </c>
      <c r="M143" s="55">
        <f t="shared" si="111"/>
        <v>-1.1513575373063837E+48</v>
      </c>
      <c r="N143" s="55">
        <f t="shared" si="111"/>
        <v>-1.1513575373063837E+48</v>
      </c>
      <c r="O143" s="55">
        <f t="shared" si="111"/>
        <v>-1.1513575373063837E+48</v>
      </c>
      <c r="P143" s="55">
        <f t="shared" si="111"/>
        <v>-1.1513575373063837E+48</v>
      </c>
      <c r="Q143" s="11"/>
      <c r="R143" s="11"/>
      <c r="S143" s="11"/>
      <c r="T143" s="11"/>
      <c r="U143" s="11"/>
      <c r="V143" s="11"/>
      <c r="W143" s="11"/>
    </row>
    <row r="144" spans="1:23" ht="12" hidden="1">
      <c r="A144" s="55" t="s">
        <v>52</v>
      </c>
      <c r="B144" s="55"/>
      <c r="C144" s="55"/>
      <c r="D144" s="55"/>
      <c r="E144" s="55"/>
      <c r="F144" s="55">
        <f aca="true" t="shared" si="112" ref="F144:P144">2*SQRT($B$9*$H$14*$H$9)</f>
        <v>5.79999546875531E+49</v>
      </c>
      <c r="G144" s="55">
        <f t="shared" si="112"/>
        <v>5.79999546875531E+49</v>
      </c>
      <c r="H144" s="55">
        <f t="shared" si="112"/>
        <v>5.79999546875531E+49</v>
      </c>
      <c r="I144" s="55">
        <f t="shared" si="112"/>
        <v>5.79999546875531E+49</v>
      </c>
      <c r="J144" s="55">
        <f t="shared" si="112"/>
        <v>5.79999546875531E+49</v>
      </c>
      <c r="K144" s="55">
        <f t="shared" si="112"/>
        <v>5.79999546875531E+49</v>
      </c>
      <c r="L144" s="55">
        <f t="shared" si="112"/>
        <v>5.79999546875531E+49</v>
      </c>
      <c r="M144" s="55">
        <f t="shared" si="112"/>
        <v>5.79999546875531E+49</v>
      </c>
      <c r="N144" s="55">
        <f t="shared" si="112"/>
        <v>5.79999546875531E+49</v>
      </c>
      <c r="O144" s="55">
        <f t="shared" si="112"/>
        <v>5.79999546875531E+49</v>
      </c>
      <c r="P144" s="55">
        <f t="shared" si="112"/>
        <v>5.79999546875531E+49</v>
      </c>
      <c r="Q144" s="11"/>
      <c r="R144" s="11"/>
      <c r="S144" s="11"/>
      <c r="T144" s="11"/>
      <c r="U144" s="11"/>
      <c r="V144" s="11"/>
      <c r="W144" s="11"/>
    </row>
    <row r="145" spans="1:23" ht="12" hidden="1">
      <c r="A145" s="55" t="s">
        <v>53</v>
      </c>
      <c r="B145" s="55"/>
      <c r="C145" s="55"/>
      <c r="D145" s="55"/>
      <c r="E145" s="55"/>
      <c r="F145" s="55">
        <f aca="true" t="shared" si="113" ref="F145:P145">(F142*F143)/F144</f>
        <v>-0.031525</v>
      </c>
      <c r="G145" s="55">
        <f t="shared" si="113"/>
        <v>-0.031525</v>
      </c>
      <c r="H145" s="55">
        <f t="shared" si="113"/>
        <v>-0.031525</v>
      </c>
      <c r="I145" s="55">
        <f t="shared" si="113"/>
        <v>-0.031525</v>
      </c>
      <c r="J145" s="55">
        <f t="shared" si="113"/>
        <v>-0.031525</v>
      </c>
      <c r="K145" s="55">
        <f t="shared" si="113"/>
        <v>-0.031525</v>
      </c>
      <c r="L145" s="55">
        <f t="shared" si="113"/>
        <v>-0.031525</v>
      </c>
      <c r="M145" s="55">
        <f t="shared" si="113"/>
        <v>-0.031525</v>
      </c>
      <c r="N145" s="55">
        <f t="shared" si="113"/>
        <v>-0.031525</v>
      </c>
      <c r="O145" s="55">
        <f t="shared" si="113"/>
        <v>-0.031525</v>
      </c>
      <c r="P145" s="55">
        <f t="shared" si="113"/>
        <v>-0.031525</v>
      </c>
      <c r="Q145" s="11"/>
      <c r="R145" s="11"/>
      <c r="S145" s="11"/>
      <c r="T145" s="11"/>
      <c r="U145" s="11"/>
      <c r="V145" s="11"/>
      <c r="W145" s="11"/>
    </row>
    <row r="146" spans="1:23" ht="12" hidden="1">
      <c r="A146" s="55" t="s">
        <v>54</v>
      </c>
      <c r="B146" s="55"/>
      <c r="C146" s="55"/>
      <c r="D146" s="55"/>
      <c r="E146" s="55"/>
      <c r="F146" s="55">
        <f aca="true" t="shared" si="114" ref="F146:P146">IF(F143&gt;10,0,IF(F143&gt;=0,ERFC(F143),IF(F143&lt;-3.75,2,1+ERF(ABS(F143)))))</f>
        <v>2</v>
      </c>
      <c r="G146" s="55">
        <f t="shared" si="114"/>
        <v>2</v>
      </c>
      <c r="H146" s="55">
        <f t="shared" si="114"/>
        <v>2</v>
      </c>
      <c r="I146" s="55">
        <f t="shared" si="114"/>
        <v>2</v>
      </c>
      <c r="J146" s="55">
        <f t="shared" si="114"/>
        <v>2</v>
      </c>
      <c r="K146" s="55">
        <f t="shared" si="114"/>
        <v>2</v>
      </c>
      <c r="L146" s="55">
        <f t="shared" si="114"/>
        <v>2</v>
      </c>
      <c r="M146" s="55">
        <f t="shared" si="114"/>
        <v>2</v>
      </c>
      <c r="N146" s="55">
        <f t="shared" si="114"/>
        <v>2</v>
      </c>
      <c r="O146" s="55">
        <f t="shared" si="114"/>
        <v>2</v>
      </c>
      <c r="P146" s="55">
        <f t="shared" si="114"/>
        <v>2</v>
      </c>
      <c r="Q146" s="11"/>
      <c r="R146" s="11"/>
      <c r="S146" s="11"/>
      <c r="T146" s="11"/>
      <c r="U146" s="11"/>
      <c r="V146" s="11"/>
      <c r="W146" s="11"/>
    </row>
    <row r="147" spans="1:23" ht="12" hidden="1">
      <c r="A147" s="55" t="s">
        <v>55</v>
      </c>
      <c r="B147" s="55"/>
      <c r="C147" s="55"/>
      <c r="D147" s="55"/>
      <c r="E147" s="55"/>
      <c r="F147" s="55">
        <f aca="true" t="shared" si="115" ref="F147:P147">2*SQRT($C$9*$C$21)</f>
        <v>20</v>
      </c>
      <c r="G147" s="55">
        <f t="shared" si="115"/>
        <v>20</v>
      </c>
      <c r="H147" s="55">
        <f t="shared" si="115"/>
        <v>20</v>
      </c>
      <c r="I147" s="55">
        <f t="shared" si="115"/>
        <v>20</v>
      </c>
      <c r="J147" s="55">
        <f t="shared" si="115"/>
        <v>20</v>
      </c>
      <c r="K147" s="55">
        <f t="shared" si="115"/>
        <v>20</v>
      </c>
      <c r="L147" s="55">
        <f t="shared" si="115"/>
        <v>20</v>
      </c>
      <c r="M147" s="55">
        <f t="shared" si="115"/>
        <v>20</v>
      </c>
      <c r="N147" s="55">
        <f t="shared" si="115"/>
        <v>20</v>
      </c>
      <c r="O147" s="55">
        <f t="shared" si="115"/>
        <v>20</v>
      </c>
      <c r="P147" s="55">
        <f t="shared" si="115"/>
        <v>20</v>
      </c>
      <c r="Q147" s="11"/>
      <c r="R147" s="11"/>
      <c r="S147" s="11"/>
      <c r="T147" s="11"/>
      <c r="U147" s="11"/>
      <c r="V147" s="11"/>
      <c r="W147" s="11"/>
    </row>
    <row r="148" spans="1:23" ht="12" hidden="1">
      <c r="A148" s="55" t="s">
        <v>56</v>
      </c>
      <c r="B148" s="55"/>
      <c r="C148" s="55"/>
      <c r="D148" s="55"/>
      <c r="E148" s="55"/>
      <c r="F148" s="55">
        <f aca="true" t="shared" si="116" ref="F148:P148">2*SQRT($D$9*$C$21)</f>
        <v>0.2</v>
      </c>
      <c r="G148" s="55">
        <f t="shared" si="116"/>
        <v>0.2</v>
      </c>
      <c r="H148" s="55">
        <f t="shared" si="116"/>
        <v>0.2</v>
      </c>
      <c r="I148" s="55">
        <f t="shared" si="116"/>
        <v>0.2</v>
      </c>
      <c r="J148" s="55">
        <f t="shared" si="116"/>
        <v>0.2</v>
      </c>
      <c r="K148" s="55">
        <f t="shared" si="116"/>
        <v>0.2</v>
      </c>
      <c r="L148" s="55">
        <f t="shared" si="116"/>
        <v>0.2</v>
      </c>
      <c r="M148" s="55">
        <f t="shared" si="116"/>
        <v>0.2</v>
      </c>
      <c r="N148" s="55">
        <f t="shared" si="116"/>
        <v>0.2</v>
      </c>
      <c r="O148" s="55">
        <f t="shared" si="116"/>
        <v>0.2</v>
      </c>
      <c r="P148" s="55">
        <f t="shared" si="116"/>
        <v>0.2</v>
      </c>
      <c r="Q148" s="11"/>
      <c r="R148" s="11"/>
      <c r="S148" s="11"/>
      <c r="T148" s="11"/>
      <c r="U148" s="11"/>
      <c r="V148" s="11"/>
      <c r="W148" s="11"/>
    </row>
    <row r="149" spans="1:23" ht="12" hidden="1">
      <c r="A149" s="55" t="s">
        <v>57</v>
      </c>
      <c r="B149" s="55"/>
      <c r="C149" s="55"/>
      <c r="D149" s="55"/>
      <c r="E149" s="55"/>
      <c r="F149" s="55">
        <f aca="true" t="shared" si="117" ref="F149:P149">((E$16+($F$9/2))/F147)</f>
        <v>-2.19375</v>
      </c>
      <c r="G149" s="55">
        <f t="shared" si="117"/>
        <v>-1.2550000000000003</v>
      </c>
      <c r="H149" s="55">
        <f t="shared" si="117"/>
        <v>-0.3162499999999998</v>
      </c>
      <c r="I149" s="55">
        <f t="shared" si="117"/>
        <v>0.6224999999999998</v>
      </c>
      <c r="J149" s="55">
        <f t="shared" si="117"/>
        <v>1.5612499999999998</v>
      </c>
      <c r="K149" s="55">
        <f t="shared" si="117"/>
        <v>2.5</v>
      </c>
      <c r="L149" s="55">
        <f t="shared" si="117"/>
        <v>3.43875</v>
      </c>
      <c r="M149" s="55">
        <f t="shared" si="117"/>
        <v>4.3775</v>
      </c>
      <c r="N149" s="55">
        <f t="shared" si="117"/>
        <v>5.316249999999999</v>
      </c>
      <c r="O149" s="55">
        <f t="shared" si="117"/>
        <v>6.255000000000001</v>
      </c>
      <c r="P149" s="55">
        <f t="shared" si="117"/>
        <v>7.19375</v>
      </c>
      <c r="Q149" s="11"/>
      <c r="R149" s="11"/>
      <c r="S149" s="11"/>
      <c r="T149" s="11"/>
      <c r="U149" s="11"/>
      <c r="V149" s="11"/>
      <c r="W149" s="11"/>
    </row>
    <row r="150" spans="1:23" ht="12" hidden="1">
      <c r="A150" s="55" t="s">
        <v>58</v>
      </c>
      <c r="B150" s="55"/>
      <c r="C150" s="55"/>
      <c r="D150" s="55"/>
      <c r="E150" s="55"/>
      <c r="F150" s="55">
        <f aca="true" t="shared" si="118" ref="F150:P150">((E$16-($F$9/2))/F147)</f>
        <v>-7.19375</v>
      </c>
      <c r="G150" s="55">
        <f t="shared" si="118"/>
        <v>-6.255000000000001</v>
      </c>
      <c r="H150" s="55">
        <f t="shared" si="118"/>
        <v>-5.316249999999999</v>
      </c>
      <c r="I150" s="55">
        <f t="shared" si="118"/>
        <v>-4.3775</v>
      </c>
      <c r="J150" s="55">
        <f t="shared" si="118"/>
        <v>-3.43875</v>
      </c>
      <c r="K150" s="55">
        <f t="shared" si="118"/>
        <v>-2.5</v>
      </c>
      <c r="L150" s="55">
        <f t="shared" si="118"/>
        <v>-1.5612499999999998</v>
      </c>
      <c r="M150" s="55">
        <f t="shared" si="118"/>
        <v>-0.6224999999999998</v>
      </c>
      <c r="N150" s="55">
        <f t="shared" si="118"/>
        <v>0.3162499999999998</v>
      </c>
      <c r="O150" s="55">
        <f t="shared" si="118"/>
        <v>1.2550000000000003</v>
      </c>
      <c r="P150" s="55">
        <f t="shared" si="118"/>
        <v>2.19375</v>
      </c>
      <c r="Q150" s="11"/>
      <c r="R150" s="11"/>
      <c r="S150" s="11"/>
      <c r="T150" s="11"/>
      <c r="U150" s="11"/>
      <c r="V150" s="11"/>
      <c r="W150" s="11"/>
    </row>
    <row r="151" spans="1:23" ht="12" hidden="1">
      <c r="A151" s="55" t="s">
        <v>59</v>
      </c>
      <c r="B151" s="55"/>
      <c r="C151" s="55"/>
      <c r="D151" s="55"/>
      <c r="E151" s="55"/>
      <c r="F151" s="55">
        <f aca="true" t="shared" si="119" ref="F151:P151">($D$22+$G$9)/F148</f>
        <v>23.904999999999998</v>
      </c>
      <c r="G151" s="55">
        <f t="shared" si="119"/>
        <v>23.904999999999998</v>
      </c>
      <c r="H151" s="55">
        <f t="shared" si="119"/>
        <v>23.904999999999998</v>
      </c>
      <c r="I151" s="55">
        <f t="shared" si="119"/>
        <v>23.904999999999998</v>
      </c>
      <c r="J151" s="55">
        <f t="shared" si="119"/>
        <v>23.904999999999998</v>
      </c>
      <c r="K151" s="55">
        <f t="shared" si="119"/>
        <v>23.904999999999998</v>
      </c>
      <c r="L151" s="55">
        <f t="shared" si="119"/>
        <v>23.904999999999998</v>
      </c>
      <c r="M151" s="55">
        <f t="shared" si="119"/>
        <v>23.904999999999998</v>
      </c>
      <c r="N151" s="55">
        <f t="shared" si="119"/>
        <v>23.904999999999998</v>
      </c>
      <c r="O151" s="55">
        <f t="shared" si="119"/>
        <v>23.904999999999998</v>
      </c>
      <c r="P151" s="55">
        <f t="shared" si="119"/>
        <v>23.904999999999998</v>
      </c>
      <c r="Q151" s="11"/>
      <c r="R151" s="11"/>
      <c r="S151" s="11"/>
      <c r="T151" s="11"/>
      <c r="U151" s="11"/>
      <c r="V151" s="11"/>
      <c r="W151" s="11"/>
    </row>
    <row r="152" spans="1:23" ht="12" hidden="1">
      <c r="A152" s="55" t="s">
        <v>60</v>
      </c>
      <c r="B152" s="55"/>
      <c r="C152" s="55"/>
      <c r="D152" s="55"/>
      <c r="E152" s="55"/>
      <c r="F152" s="55">
        <f aca="true" t="shared" si="120" ref="F152:P152">($D$22-$G$9)/F148</f>
        <v>-76.095</v>
      </c>
      <c r="G152" s="55">
        <f t="shared" si="120"/>
        <v>-76.095</v>
      </c>
      <c r="H152" s="55">
        <f t="shared" si="120"/>
        <v>-76.095</v>
      </c>
      <c r="I152" s="55">
        <f t="shared" si="120"/>
        <v>-76.095</v>
      </c>
      <c r="J152" s="55">
        <f t="shared" si="120"/>
        <v>-76.095</v>
      </c>
      <c r="K152" s="55">
        <f t="shared" si="120"/>
        <v>-76.095</v>
      </c>
      <c r="L152" s="55">
        <f t="shared" si="120"/>
        <v>-76.095</v>
      </c>
      <c r="M152" s="55">
        <f t="shared" si="120"/>
        <v>-76.095</v>
      </c>
      <c r="N152" s="55">
        <f t="shared" si="120"/>
        <v>-76.095</v>
      </c>
      <c r="O152" s="55">
        <f t="shared" si="120"/>
        <v>-76.095</v>
      </c>
      <c r="P152" s="55">
        <f t="shared" si="120"/>
        <v>-76.095</v>
      </c>
      <c r="Q152" s="11"/>
      <c r="R152" s="11"/>
      <c r="S152" s="11"/>
      <c r="T152" s="11"/>
      <c r="U152" s="11"/>
      <c r="V152" s="11"/>
      <c r="W152" s="11"/>
    </row>
    <row r="153" spans="1:23" ht="12" hidden="1">
      <c r="A153" s="55" t="s">
        <v>61</v>
      </c>
      <c r="B153" s="55"/>
      <c r="C153" s="55"/>
      <c r="D153" s="55"/>
      <c r="E153" s="55"/>
      <c r="F153" s="55">
        <f aca="true" t="shared" si="121" ref="F153:P153">IF(F149&gt;3.5,1,IF(F149&gt;=0,ERF(F149),IF(F149&gt;-3.5,-ERF(ABS(F149)),-1)))</f>
        <v>-0.9980806171492725</v>
      </c>
      <c r="G153" s="55">
        <f t="shared" si="121"/>
        <v>-0.9240753635215959</v>
      </c>
      <c r="H153" s="55">
        <f t="shared" si="121"/>
        <v>-0.3453018547117728</v>
      </c>
      <c r="I153" s="55">
        <f t="shared" si="121"/>
        <v>0.6213291518057229</v>
      </c>
      <c r="J153" s="55">
        <f t="shared" si="121"/>
        <v>0.97275160844547</v>
      </c>
      <c r="K153" s="55">
        <f t="shared" si="121"/>
        <v>0.999593047982555</v>
      </c>
      <c r="L153" s="55">
        <f t="shared" si="121"/>
        <v>0.9999988445427717</v>
      </c>
      <c r="M153" s="55">
        <f t="shared" si="121"/>
        <v>1</v>
      </c>
      <c r="N153" s="55">
        <f t="shared" si="121"/>
        <v>1</v>
      </c>
      <c r="O153" s="55">
        <f t="shared" si="121"/>
        <v>1</v>
      </c>
      <c r="P153" s="55">
        <f t="shared" si="121"/>
        <v>1</v>
      </c>
      <c r="Q153" s="11"/>
      <c r="R153" s="11"/>
      <c r="S153" s="11"/>
      <c r="T153" s="11"/>
      <c r="U153" s="11"/>
      <c r="V153" s="11"/>
      <c r="W153" s="11"/>
    </row>
    <row r="154" spans="1:23" ht="12" hidden="1">
      <c r="A154" s="55" t="s">
        <v>62</v>
      </c>
      <c r="B154" s="55"/>
      <c r="C154" s="55"/>
      <c r="D154" s="55"/>
      <c r="E154" s="55"/>
      <c r="F154" s="55">
        <f aca="true" t="shared" si="122" ref="F154:P154">IF(F150&gt;3.5,1,IF(F150&gt;=0,ERF(F150),IF(F150&gt;-3.5,-ERF(ABS(F150)),-1)))</f>
        <v>-1</v>
      </c>
      <c r="G154" s="55">
        <f t="shared" si="122"/>
        <v>-1</v>
      </c>
      <c r="H154" s="55">
        <f t="shared" si="122"/>
        <v>-1</v>
      </c>
      <c r="I154" s="55">
        <f t="shared" si="122"/>
        <v>-1</v>
      </c>
      <c r="J154" s="55">
        <f t="shared" si="122"/>
        <v>-0.9999988445427717</v>
      </c>
      <c r="K154" s="55">
        <f t="shared" si="122"/>
        <v>-0.999593047982555</v>
      </c>
      <c r="L154" s="55">
        <f t="shared" si="122"/>
        <v>-0.97275160844547</v>
      </c>
      <c r="M154" s="55">
        <f t="shared" si="122"/>
        <v>-0.6213291518057229</v>
      </c>
      <c r="N154" s="55">
        <f t="shared" si="122"/>
        <v>0.3453018547117728</v>
      </c>
      <c r="O154" s="55">
        <f t="shared" si="122"/>
        <v>0.9240753635215959</v>
      </c>
      <c r="P154" s="55">
        <f t="shared" si="122"/>
        <v>0.9980806171492725</v>
      </c>
      <c r="Q154" s="11"/>
      <c r="R154" s="11"/>
      <c r="S154" s="11"/>
      <c r="T154" s="11"/>
      <c r="U154" s="11"/>
      <c r="V154" s="11"/>
      <c r="W154" s="11"/>
    </row>
    <row r="155" spans="1:23" ht="12" hidden="1">
      <c r="A155" s="55" t="s">
        <v>63</v>
      </c>
      <c r="B155" s="55"/>
      <c r="C155" s="55"/>
      <c r="D155" s="55"/>
      <c r="E155" s="55"/>
      <c r="F155" s="55">
        <f aca="true" t="shared" si="123" ref="F155:P155">IF(F151&gt;3.5,1,IF(F151&gt;=0,ERF(F151),IF(F151&gt;-3.5,-ERF(ABS(F151)),-1)))</f>
        <v>1</v>
      </c>
      <c r="G155" s="55">
        <f t="shared" si="123"/>
        <v>1</v>
      </c>
      <c r="H155" s="55">
        <f t="shared" si="123"/>
        <v>1</v>
      </c>
      <c r="I155" s="55">
        <f t="shared" si="123"/>
        <v>1</v>
      </c>
      <c r="J155" s="55">
        <f t="shared" si="123"/>
        <v>1</v>
      </c>
      <c r="K155" s="55">
        <f t="shared" si="123"/>
        <v>1</v>
      </c>
      <c r="L155" s="55">
        <f t="shared" si="123"/>
        <v>1</v>
      </c>
      <c r="M155" s="55">
        <f t="shared" si="123"/>
        <v>1</v>
      </c>
      <c r="N155" s="55">
        <f t="shared" si="123"/>
        <v>1</v>
      </c>
      <c r="O155" s="55">
        <f t="shared" si="123"/>
        <v>1</v>
      </c>
      <c r="P155" s="55">
        <f t="shared" si="123"/>
        <v>1</v>
      </c>
      <c r="Q155" s="11"/>
      <c r="R155" s="11"/>
      <c r="S155" s="11"/>
      <c r="T155" s="11"/>
      <c r="U155" s="11"/>
      <c r="V155" s="11"/>
      <c r="W155" s="11"/>
    </row>
    <row r="156" spans="1:23" ht="12" hidden="1">
      <c r="A156" s="55" t="s">
        <v>64</v>
      </c>
      <c r="B156" s="55"/>
      <c r="C156" s="55"/>
      <c r="D156" s="55"/>
      <c r="E156" s="55"/>
      <c r="F156" s="55">
        <f aca="true" t="shared" si="124" ref="F156:P156">IF(F152&gt;3.5,1,IF(F152&gt;=0,ERF(F152),IF(F152&gt;-3.5,-ERF(ABS(F152)),-1)))</f>
        <v>-1</v>
      </c>
      <c r="G156" s="55">
        <f t="shared" si="124"/>
        <v>-1</v>
      </c>
      <c r="H156" s="55">
        <f t="shared" si="124"/>
        <v>-1</v>
      </c>
      <c r="I156" s="55">
        <f t="shared" si="124"/>
        <v>-1</v>
      </c>
      <c r="J156" s="55">
        <f t="shared" si="124"/>
        <v>-1</v>
      </c>
      <c r="K156" s="55">
        <f t="shared" si="124"/>
        <v>-1</v>
      </c>
      <c r="L156" s="55">
        <f t="shared" si="124"/>
        <v>-1</v>
      </c>
      <c r="M156" s="55">
        <f t="shared" si="124"/>
        <v>-1</v>
      </c>
      <c r="N156" s="55">
        <f t="shared" si="124"/>
        <v>-1</v>
      </c>
      <c r="O156" s="55">
        <f t="shared" si="124"/>
        <v>-1</v>
      </c>
      <c r="P156" s="55">
        <f t="shared" si="124"/>
        <v>-1</v>
      </c>
      <c r="Q156" s="11"/>
      <c r="R156" s="11"/>
      <c r="S156" s="11"/>
      <c r="T156" s="11"/>
      <c r="U156" s="11"/>
      <c r="V156" s="11"/>
      <c r="W156" s="11"/>
    </row>
    <row r="157" spans="1:23" ht="12" hidden="1">
      <c r="A157" s="11" t="s">
        <v>72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2" hidden="1">
      <c r="A158" s="55" t="s">
        <v>45</v>
      </c>
      <c r="B158" s="55"/>
      <c r="C158" s="55"/>
      <c r="D158" s="55"/>
      <c r="E158" s="55"/>
      <c r="F158" s="55">
        <f aca="true" t="shared" si="125" ref="F158:P158">$C$21/(2*$B$9)</f>
        <v>2.5</v>
      </c>
      <c r="G158" s="55">
        <f t="shared" si="125"/>
        <v>2.5</v>
      </c>
      <c r="H158" s="55">
        <f t="shared" si="125"/>
        <v>2.5</v>
      </c>
      <c r="I158" s="55">
        <f t="shared" si="125"/>
        <v>2.5</v>
      </c>
      <c r="J158" s="55">
        <f t="shared" si="125"/>
        <v>2.5</v>
      </c>
      <c r="K158" s="55">
        <f t="shared" si="125"/>
        <v>2.5</v>
      </c>
      <c r="L158" s="55">
        <f t="shared" si="125"/>
        <v>2.5</v>
      </c>
      <c r="M158" s="55">
        <f t="shared" si="125"/>
        <v>2.5</v>
      </c>
      <c r="N158" s="55">
        <f t="shared" si="125"/>
        <v>2.5</v>
      </c>
      <c r="O158" s="55">
        <f t="shared" si="125"/>
        <v>2.5</v>
      </c>
      <c r="P158" s="55">
        <f t="shared" si="125"/>
        <v>2.5</v>
      </c>
      <c r="Q158" s="11"/>
      <c r="R158" s="11"/>
      <c r="S158" s="11"/>
      <c r="T158" s="11"/>
      <c r="U158" s="11"/>
      <c r="V158" s="11"/>
      <c r="W158" s="11"/>
    </row>
    <row r="159" spans="1:23" ht="12" hidden="1">
      <c r="A159" s="55" t="s">
        <v>46</v>
      </c>
      <c r="B159" s="55"/>
      <c r="C159" s="55"/>
      <c r="D159" s="55"/>
      <c r="E159" s="55"/>
      <c r="F159" s="55">
        <f aca="true" t="shared" si="126" ref="F159:P159">1-(SQRT(1+(4*$E$9*$B$9)/$H$14))</f>
        <v>-0.5880806024884253</v>
      </c>
      <c r="G159" s="55">
        <f t="shared" si="126"/>
        <v>-0.5880806024884253</v>
      </c>
      <c r="H159" s="55">
        <f t="shared" si="126"/>
        <v>-0.5880806024884253</v>
      </c>
      <c r="I159" s="55">
        <f t="shared" si="126"/>
        <v>-0.5880806024884253</v>
      </c>
      <c r="J159" s="55">
        <f t="shared" si="126"/>
        <v>-0.5880806024884253</v>
      </c>
      <c r="K159" s="55">
        <f t="shared" si="126"/>
        <v>-0.5880806024884253</v>
      </c>
      <c r="L159" s="55">
        <f t="shared" si="126"/>
        <v>-0.5880806024884253</v>
      </c>
      <c r="M159" s="55">
        <f t="shared" si="126"/>
        <v>-0.5880806024884253</v>
      </c>
      <c r="N159" s="55">
        <f t="shared" si="126"/>
        <v>-0.5880806024884253</v>
      </c>
      <c r="O159" s="55">
        <f t="shared" si="126"/>
        <v>-0.5880806024884253</v>
      </c>
      <c r="P159" s="55">
        <f t="shared" si="126"/>
        <v>-0.5880806024884253</v>
      </c>
      <c r="Q159" s="11"/>
      <c r="R159" s="11"/>
      <c r="S159" s="11"/>
      <c r="T159" s="11"/>
      <c r="U159" s="11"/>
      <c r="V159" s="11"/>
      <c r="W159" s="11"/>
    </row>
    <row r="160" spans="1:23" ht="12" hidden="1">
      <c r="A160" s="55" t="s">
        <v>47</v>
      </c>
      <c r="B160" s="55"/>
      <c r="C160" s="55"/>
      <c r="D160" s="55" t="s">
        <v>48</v>
      </c>
      <c r="E160" s="55"/>
      <c r="F160" s="55">
        <f aca="true" t="shared" si="127" ref="F160:P160">EXP(F158*F159)</f>
        <v>0.22987915843879847</v>
      </c>
      <c r="G160" s="55">
        <f t="shared" si="127"/>
        <v>0.22987915843879847</v>
      </c>
      <c r="H160" s="55">
        <f t="shared" si="127"/>
        <v>0.22987915843879847</v>
      </c>
      <c r="I160" s="55">
        <f t="shared" si="127"/>
        <v>0.22987915843879847</v>
      </c>
      <c r="J160" s="55">
        <f t="shared" si="127"/>
        <v>0.22987915843879847</v>
      </c>
      <c r="K160" s="55">
        <f t="shared" si="127"/>
        <v>0.22987915843879847</v>
      </c>
      <c r="L160" s="55">
        <f t="shared" si="127"/>
        <v>0.22987915843879847</v>
      </c>
      <c r="M160" s="55">
        <f t="shared" si="127"/>
        <v>0.22987915843879847</v>
      </c>
      <c r="N160" s="55">
        <f t="shared" si="127"/>
        <v>0.22987915843879847</v>
      </c>
      <c r="O160" s="55">
        <f t="shared" si="127"/>
        <v>0.22987915843879847</v>
      </c>
      <c r="P160" s="55">
        <f t="shared" si="127"/>
        <v>0.22987915843879847</v>
      </c>
      <c r="Q160" s="11"/>
      <c r="R160" s="11"/>
      <c r="S160" s="11"/>
      <c r="T160" s="11"/>
      <c r="U160" s="11"/>
      <c r="V160" s="11"/>
      <c r="W160" s="11"/>
    </row>
    <row r="161" spans="1:23" ht="12" hidden="1">
      <c r="A161" s="55" t="s">
        <v>49</v>
      </c>
      <c r="B161" s="55"/>
      <c r="C161" s="55"/>
      <c r="D161" s="55"/>
      <c r="E161" s="55"/>
      <c r="F161" s="55">
        <f aca="true" t="shared" si="128" ref="F161:P161">$H$14*$H$9</f>
        <v>4.204993429697766E+97</v>
      </c>
      <c r="G161" s="55">
        <f t="shared" si="128"/>
        <v>4.204993429697766E+97</v>
      </c>
      <c r="H161" s="55">
        <f t="shared" si="128"/>
        <v>4.204993429697766E+97</v>
      </c>
      <c r="I161" s="55">
        <f t="shared" si="128"/>
        <v>4.204993429697766E+97</v>
      </c>
      <c r="J161" s="55">
        <f t="shared" si="128"/>
        <v>4.204993429697766E+97</v>
      </c>
      <c r="K161" s="55">
        <f t="shared" si="128"/>
        <v>4.204993429697766E+97</v>
      </c>
      <c r="L161" s="55">
        <f t="shared" si="128"/>
        <v>4.204993429697766E+97</v>
      </c>
      <c r="M161" s="55">
        <f t="shared" si="128"/>
        <v>4.204993429697766E+97</v>
      </c>
      <c r="N161" s="55">
        <f t="shared" si="128"/>
        <v>4.204993429697766E+97</v>
      </c>
      <c r="O161" s="55">
        <f t="shared" si="128"/>
        <v>4.204993429697766E+97</v>
      </c>
      <c r="P161" s="55">
        <f t="shared" si="128"/>
        <v>4.204993429697766E+97</v>
      </c>
      <c r="Q161" s="11"/>
      <c r="R161" s="11"/>
      <c r="S161" s="11"/>
      <c r="T161" s="11"/>
      <c r="U161" s="11"/>
      <c r="V161" s="11"/>
      <c r="W161" s="11"/>
    </row>
    <row r="162" spans="1:23" ht="12" hidden="1">
      <c r="A162" s="55" t="s">
        <v>50</v>
      </c>
      <c r="B162" s="55"/>
      <c r="C162" s="55"/>
      <c r="D162" s="55"/>
      <c r="E162" s="55"/>
      <c r="F162" s="55">
        <f aca="true" t="shared" si="129" ref="F162:P162">SQRT(1+(4*$E$9*$B$9/$H$14))</f>
        <v>1.5880806024884253</v>
      </c>
      <c r="G162" s="55">
        <f t="shared" si="129"/>
        <v>1.5880806024884253</v>
      </c>
      <c r="H162" s="55">
        <f t="shared" si="129"/>
        <v>1.5880806024884253</v>
      </c>
      <c r="I162" s="55">
        <f t="shared" si="129"/>
        <v>1.5880806024884253</v>
      </c>
      <c r="J162" s="55">
        <f t="shared" si="129"/>
        <v>1.5880806024884253</v>
      </c>
      <c r="K162" s="55">
        <f t="shared" si="129"/>
        <v>1.5880806024884253</v>
      </c>
      <c r="L162" s="55">
        <f t="shared" si="129"/>
        <v>1.5880806024884253</v>
      </c>
      <c r="M162" s="55">
        <f t="shared" si="129"/>
        <v>1.5880806024884253</v>
      </c>
      <c r="N162" s="55">
        <f t="shared" si="129"/>
        <v>1.5880806024884253</v>
      </c>
      <c r="O162" s="55">
        <f t="shared" si="129"/>
        <v>1.5880806024884253</v>
      </c>
      <c r="P162" s="55">
        <f t="shared" si="129"/>
        <v>1.5880806024884253</v>
      </c>
      <c r="Q162" s="11"/>
      <c r="R162" s="11"/>
      <c r="S162" s="11"/>
      <c r="T162" s="11"/>
      <c r="U162" s="11"/>
      <c r="V162" s="11"/>
      <c r="W162" s="11"/>
    </row>
    <row r="163" spans="1:23" ht="12" hidden="1">
      <c r="A163" s="55" t="s">
        <v>51</v>
      </c>
      <c r="B163" s="55"/>
      <c r="C163" s="55"/>
      <c r="D163" s="55"/>
      <c r="E163" s="55"/>
      <c r="F163" s="55">
        <f aca="true" t="shared" si="130" ref="F163:P163">($C$21-(F161*F162))/F164</f>
        <v>-1.1513575373063837E+48</v>
      </c>
      <c r="G163" s="55">
        <f t="shared" si="130"/>
        <v>-1.1513575373063837E+48</v>
      </c>
      <c r="H163" s="55">
        <f t="shared" si="130"/>
        <v>-1.1513575373063837E+48</v>
      </c>
      <c r="I163" s="55">
        <f t="shared" si="130"/>
        <v>-1.1513575373063837E+48</v>
      </c>
      <c r="J163" s="55">
        <f t="shared" si="130"/>
        <v>-1.1513575373063837E+48</v>
      </c>
      <c r="K163" s="55">
        <f t="shared" si="130"/>
        <v>-1.1513575373063837E+48</v>
      </c>
      <c r="L163" s="55">
        <f t="shared" si="130"/>
        <v>-1.1513575373063837E+48</v>
      </c>
      <c r="M163" s="55">
        <f t="shared" si="130"/>
        <v>-1.1513575373063837E+48</v>
      </c>
      <c r="N163" s="55">
        <f t="shared" si="130"/>
        <v>-1.1513575373063837E+48</v>
      </c>
      <c r="O163" s="55">
        <f t="shared" si="130"/>
        <v>-1.1513575373063837E+48</v>
      </c>
      <c r="P163" s="55">
        <f t="shared" si="130"/>
        <v>-1.1513575373063837E+48</v>
      </c>
      <c r="Q163" s="11"/>
      <c r="R163" s="11"/>
      <c r="S163" s="11"/>
      <c r="T163" s="11"/>
      <c r="U163" s="11"/>
      <c r="V163" s="11"/>
      <c r="W163" s="11"/>
    </row>
    <row r="164" spans="1:23" ht="12" hidden="1">
      <c r="A164" s="55" t="s">
        <v>52</v>
      </c>
      <c r="B164" s="55"/>
      <c r="C164" s="55"/>
      <c r="D164" s="55"/>
      <c r="E164" s="55"/>
      <c r="F164" s="55">
        <f aca="true" t="shared" si="131" ref="F164:P164">2*SQRT($B$9*$H$14*$H$9)</f>
        <v>5.79999546875531E+49</v>
      </c>
      <c r="G164" s="55">
        <f t="shared" si="131"/>
        <v>5.79999546875531E+49</v>
      </c>
      <c r="H164" s="55">
        <f t="shared" si="131"/>
        <v>5.79999546875531E+49</v>
      </c>
      <c r="I164" s="55">
        <f t="shared" si="131"/>
        <v>5.79999546875531E+49</v>
      </c>
      <c r="J164" s="55">
        <f t="shared" si="131"/>
        <v>5.79999546875531E+49</v>
      </c>
      <c r="K164" s="55">
        <f t="shared" si="131"/>
        <v>5.79999546875531E+49</v>
      </c>
      <c r="L164" s="55">
        <f t="shared" si="131"/>
        <v>5.79999546875531E+49</v>
      </c>
      <c r="M164" s="55">
        <f t="shared" si="131"/>
        <v>5.79999546875531E+49</v>
      </c>
      <c r="N164" s="55">
        <f t="shared" si="131"/>
        <v>5.79999546875531E+49</v>
      </c>
      <c r="O164" s="55">
        <f t="shared" si="131"/>
        <v>5.79999546875531E+49</v>
      </c>
      <c r="P164" s="55">
        <f t="shared" si="131"/>
        <v>5.79999546875531E+49</v>
      </c>
      <c r="Q164" s="11"/>
      <c r="R164" s="11"/>
      <c r="S164" s="11"/>
      <c r="T164" s="11"/>
      <c r="U164" s="11"/>
      <c r="V164" s="11"/>
      <c r="W164" s="11"/>
    </row>
    <row r="165" spans="1:23" ht="12" hidden="1">
      <c r="A165" s="55" t="s">
        <v>53</v>
      </c>
      <c r="B165" s="55"/>
      <c r="C165" s="55"/>
      <c r="D165" s="55"/>
      <c r="E165" s="55"/>
      <c r="F165" s="55">
        <f aca="true" t="shared" si="132" ref="F165:P165">(F162*F163)/F164</f>
        <v>-0.031525</v>
      </c>
      <c r="G165" s="55">
        <f t="shared" si="132"/>
        <v>-0.031525</v>
      </c>
      <c r="H165" s="55">
        <f t="shared" si="132"/>
        <v>-0.031525</v>
      </c>
      <c r="I165" s="55">
        <f t="shared" si="132"/>
        <v>-0.031525</v>
      </c>
      <c r="J165" s="55">
        <f t="shared" si="132"/>
        <v>-0.031525</v>
      </c>
      <c r="K165" s="55">
        <f t="shared" si="132"/>
        <v>-0.031525</v>
      </c>
      <c r="L165" s="55">
        <f t="shared" si="132"/>
        <v>-0.031525</v>
      </c>
      <c r="M165" s="55">
        <f t="shared" si="132"/>
        <v>-0.031525</v>
      </c>
      <c r="N165" s="55">
        <f t="shared" si="132"/>
        <v>-0.031525</v>
      </c>
      <c r="O165" s="55">
        <f t="shared" si="132"/>
        <v>-0.031525</v>
      </c>
      <c r="P165" s="55">
        <f t="shared" si="132"/>
        <v>-0.031525</v>
      </c>
      <c r="Q165" s="11"/>
      <c r="R165" s="11"/>
      <c r="S165" s="11"/>
      <c r="T165" s="11"/>
      <c r="U165" s="11"/>
      <c r="V165" s="11"/>
      <c r="W165" s="11"/>
    </row>
    <row r="166" spans="1:23" ht="12" hidden="1">
      <c r="A166" s="55" t="s">
        <v>54</v>
      </c>
      <c r="B166" s="55"/>
      <c r="C166" s="55"/>
      <c r="D166" s="55"/>
      <c r="E166" s="55"/>
      <c r="F166" s="55">
        <f aca="true" t="shared" si="133" ref="F166:P166">IF(F163&gt;10,0,IF(F163&gt;=0,ERFC(F163),IF(F163&lt;-3.75,2,1+ERF(ABS(F163)))))</f>
        <v>2</v>
      </c>
      <c r="G166" s="55">
        <f t="shared" si="133"/>
        <v>2</v>
      </c>
      <c r="H166" s="55">
        <f t="shared" si="133"/>
        <v>2</v>
      </c>
      <c r="I166" s="55">
        <f t="shared" si="133"/>
        <v>2</v>
      </c>
      <c r="J166" s="55">
        <f t="shared" si="133"/>
        <v>2</v>
      </c>
      <c r="K166" s="55">
        <f t="shared" si="133"/>
        <v>2</v>
      </c>
      <c r="L166" s="55">
        <f t="shared" si="133"/>
        <v>2</v>
      </c>
      <c r="M166" s="55">
        <f t="shared" si="133"/>
        <v>2</v>
      </c>
      <c r="N166" s="55">
        <f t="shared" si="133"/>
        <v>2</v>
      </c>
      <c r="O166" s="55">
        <f t="shared" si="133"/>
        <v>2</v>
      </c>
      <c r="P166" s="55">
        <f t="shared" si="133"/>
        <v>2</v>
      </c>
      <c r="Q166" s="11"/>
      <c r="R166" s="11"/>
      <c r="S166" s="11"/>
      <c r="T166" s="11"/>
      <c r="U166" s="11"/>
      <c r="V166" s="11"/>
      <c r="W166" s="11"/>
    </row>
    <row r="167" spans="1:23" ht="12" hidden="1">
      <c r="A167" s="55" t="s">
        <v>55</v>
      </c>
      <c r="B167" s="55"/>
      <c r="C167" s="55"/>
      <c r="D167" s="55"/>
      <c r="E167" s="55"/>
      <c r="F167" s="55">
        <f aca="true" t="shared" si="134" ref="F167:P167">2*SQRT($C$9*$C$21)</f>
        <v>20</v>
      </c>
      <c r="G167" s="55">
        <f t="shared" si="134"/>
        <v>20</v>
      </c>
      <c r="H167" s="55">
        <f t="shared" si="134"/>
        <v>20</v>
      </c>
      <c r="I167" s="55">
        <f t="shared" si="134"/>
        <v>20</v>
      </c>
      <c r="J167" s="55">
        <f t="shared" si="134"/>
        <v>20</v>
      </c>
      <c r="K167" s="55">
        <f t="shared" si="134"/>
        <v>20</v>
      </c>
      <c r="L167" s="55">
        <f t="shared" si="134"/>
        <v>20</v>
      </c>
      <c r="M167" s="55">
        <f t="shared" si="134"/>
        <v>20</v>
      </c>
      <c r="N167" s="55">
        <f t="shared" si="134"/>
        <v>20</v>
      </c>
      <c r="O167" s="55">
        <f t="shared" si="134"/>
        <v>20</v>
      </c>
      <c r="P167" s="55">
        <f t="shared" si="134"/>
        <v>20</v>
      </c>
      <c r="Q167" s="11"/>
      <c r="R167" s="11"/>
      <c r="S167" s="11"/>
      <c r="T167" s="11"/>
      <c r="U167" s="11"/>
      <c r="V167" s="11"/>
      <c r="W167" s="11"/>
    </row>
    <row r="168" spans="1:23" ht="12" hidden="1">
      <c r="A168" s="55" t="s">
        <v>56</v>
      </c>
      <c r="B168" s="55"/>
      <c r="C168" s="55"/>
      <c r="D168" s="55"/>
      <c r="E168" s="55"/>
      <c r="F168" s="55">
        <f aca="true" t="shared" si="135" ref="F168:P168">2*SQRT($D$9*$C$21)</f>
        <v>0.2</v>
      </c>
      <c r="G168" s="55">
        <f t="shared" si="135"/>
        <v>0.2</v>
      </c>
      <c r="H168" s="55">
        <f t="shared" si="135"/>
        <v>0.2</v>
      </c>
      <c r="I168" s="55">
        <f t="shared" si="135"/>
        <v>0.2</v>
      </c>
      <c r="J168" s="55">
        <f t="shared" si="135"/>
        <v>0.2</v>
      </c>
      <c r="K168" s="55">
        <f t="shared" si="135"/>
        <v>0.2</v>
      </c>
      <c r="L168" s="55">
        <f t="shared" si="135"/>
        <v>0.2</v>
      </c>
      <c r="M168" s="55">
        <f t="shared" si="135"/>
        <v>0.2</v>
      </c>
      <c r="N168" s="55">
        <f t="shared" si="135"/>
        <v>0.2</v>
      </c>
      <c r="O168" s="55">
        <f t="shared" si="135"/>
        <v>0.2</v>
      </c>
      <c r="P168" s="55">
        <f t="shared" si="135"/>
        <v>0.2</v>
      </c>
      <c r="Q168" s="11"/>
      <c r="R168" s="11"/>
      <c r="S168" s="11"/>
      <c r="T168" s="11"/>
      <c r="U168" s="11"/>
      <c r="V168" s="11"/>
      <c r="W168" s="11"/>
    </row>
    <row r="169" spans="1:23" ht="12" hidden="1">
      <c r="A169" s="55" t="s">
        <v>57</v>
      </c>
      <c r="B169" s="55"/>
      <c r="C169" s="55"/>
      <c r="D169" s="55"/>
      <c r="E169" s="55"/>
      <c r="F169" s="55">
        <f aca="true" t="shared" si="136" ref="F169:P169">((E$16+($F$9/2))/F167)</f>
        <v>-2.19375</v>
      </c>
      <c r="G169" s="55">
        <f t="shared" si="136"/>
        <v>-1.2550000000000003</v>
      </c>
      <c r="H169" s="55">
        <f t="shared" si="136"/>
        <v>-0.3162499999999998</v>
      </c>
      <c r="I169" s="55">
        <f t="shared" si="136"/>
        <v>0.6224999999999998</v>
      </c>
      <c r="J169" s="55">
        <f t="shared" si="136"/>
        <v>1.5612499999999998</v>
      </c>
      <c r="K169" s="55">
        <f t="shared" si="136"/>
        <v>2.5</v>
      </c>
      <c r="L169" s="55">
        <f t="shared" si="136"/>
        <v>3.43875</v>
      </c>
      <c r="M169" s="55">
        <f t="shared" si="136"/>
        <v>4.3775</v>
      </c>
      <c r="N169" s="55">
        <f t="shared" si="136"/>
        <v>5.316249999999999</v>
      </c>
      <c r="O169" s="55">
        <f t="shared" si="136"/>
        <v>6.255000000000001</v>
      </c>
      <c r="P169" s="55">
        <f t="shared" si="136"/>
        <v>7.19375</v>
      </c>
      <c r="Q169" s="11"/>
      <c r="R169" s="11"/>
      <c r="S169" s="11"/>
      <c r="T169" s="11"/>
      <c r="U169" s="11"/>
      <c r="V169" s="11"/>
      <c r="W169" s="11"/>
    </row>
    <row r="170" spans="1:23" ht="12" hidden="1">
      <c r="A170" s="55" t="s">
        <v>58</v>
      </c>
      <c r="B170" s="55"/>
      <c r="C170" s="55"/>
      <c r="D170" s="55"/>
      <c r="E170" s="55"/>
      <c r="F170" s="55">
        <f aca="true" t="shared" si="137" ref="F170:P170">((E$16-($F$9/2))/F167)</f>
        <v>-7.19375</v>
      </c>
      <c r="G170" s="55">
        <f t="shared" si="137"/>
        <v>-6.255000000000001</v>
      </c>
      <c r="H170" s="55">
        <f t="shared" si="137"/>
        <v>-5.316249999999999</v>
      </c>
      <c r="I170" s="55">
        <f t="shared" si="137"/>
        <v>-4.3775</v>
      </c>
      <c r="J170" s="55">
        <f t="shared" si="137"/>
        <v>-3.43875</v>
      </c>
      <c r="K170" s="55">
        <f t="shared" si="137"/>
        <v>-2.5</v>
      </c>
      <c r="L170" s="55">
        <f t="shared" si="137"/>
        <v>-1.5612499999999998</v>
      </c>
      <c r="M170" s="55">
        <f t="shared" si="137"/>
        <v>-0.6224999999999998</v>
      </c>
      <c r="N170" s="55">
        <f t="shared" si="137"/>
        <v>0.3162499999999998</v>
      </c>
      <c r="O170" s="55">
        <f t="shared" si="137"/>
        <v>1.2550000000000003</v>
      </c>
      <c r="P170" s="55">
        <f t="shared" si="137"/>
        <v>2.19375</v>
      </c>
      <c r="Q170" s="11"/>
      <c r="R170" s="11"/>
      <c r="S170" s="11"/>
      <c r="T170" s="11"/>
      <c r="U170" s="11"/>
      <c r="V170" s="11"/>
      <c r="W170" s="11"/>
    </row>
    <row r="171" spans="1:23" ht="12" hidden="1">
      <c r="A171" s="55" t="s">
        <v>59</v>
      </c>
      <c r="B171" s="55"/>
      <c r="C171" s="55"/>
      <c r="D171" s="55"/>
      <c r="E171" s="55"/>
      <c r="F171" s="55">
        <f aca="true" t="shared" si="138" ref="F171:P171">($D$23+$G$9)/F168</f>
        <v>18.685999999999996</v>
      </c>
      <c r="G171" s="55">
        <f t="shared" si="138"/>
        <v>18.685999999999996</v>
      </c>
      <c r="H171" s="55">
        <f t="shared" si="138"/>
        <v>18.685999999999996</v>
      </c>
      <c r="I171" s="55">
        <f t="shared" si="138"/>
        <v>18.685999999999996</v>
      </c>
      <c r="J171" s="55">
        <f t="shared" si="138"/>
        <v>18.685999999999996</v>
      </c>
      <c r="K171" s="55">
        <f t="shared" si="138"/>
        <v>18.685999999999996</v>
      </c>
      <c r="L171" s="55">
        <f t="shared" si="138"/>
        <v>18.685999999999996</v>
      </c>
      <c r="M171" s="55">
        <f t="shared" si="138"/>
        <v>18.685999999999996</v>
      </c>
      <c r="N171" s="55">
        <f t="shared" si="138"/>
        <v>18.685999999999996</v>
      </c>
      <c r="O171" s="55">
        <f t="shared" si="138"/>
        <v>18.685999999999996</v>
      </c>
      <c r="P171" s="55">
        <f t="shared" si="138"/>
        <v>18.685999999999996</v>
      </c>
      <c r="Q171" s="11"/>
      <c r="R171" s="11"/>
      <c r="S171" s="11"/>
      <c r="T171" s="11"/>
      <c r="U171" s="11"/>
      <c r="V171" s="11"/>
      <c r="W171" s="11"/>
    </row>
    <row r="172" spans="1:23" ht="12" hidden="1">
      <c r="A172" s="55" t="s">
        <v>60</v>
      </c>
      <c r="B172" s="55"/>
      <c r="C172" s="55"/>
      <c r="D172" s="55"/>
      <c r="E172" s="55"/>
      <c r="F172" s="55">
        <f aca="true" t="shared" si="139" ref="F172:P172">($D$23-$G$9)/F168</f>
        <v>-81.314</v>
      </c>
      <c r="G172" s="55">
        <f t="shared" si="139"/>
        <v>-81.314</v>
      </c>
      <c r="H172" s="55">
        <f t="shared" si="139"/>
        <v>-81.314</v>
      </c>
      <c r="I172" s="55">
        <f t="shared" si="139"/>
        <v>-81.314</v>
      </c>
      <c r="J172" s="55">
        <f t="shared" si="139"/>
        <v>-81.314</v>
      </c>
      <c r="K172" s="55">
        <f t="shared" si="139"/>
        <v>-81.314</v>
      </c>
      <c r="L172" s="55">
        <f t="shared" si="139"/>
        <v>-81.314</v>
      </c>
      <c r="M172" s="55">
        <f t="shared" si="139"/>
        <v>-81.314</v>
      </c>
      <c r="N172" s="55">
        <f t="shared" si="139"/>
        <v>-81.314</v>
      </c>
      <c r="O172" s="55">
        <f t="shared" si="139"/>
        <v>-81.314</v>
      </c>
      <c r="P172" s="55">
        <f t="shared" si="139"/>
        <v>-81.314</v>
      </c>
      <c r="Q172" s="11"/>
      <c r="R172" s="11"/>
      <c r="S172" s="11"/>
      <c r="T172" s="11"/>
      <c r="U172" s="11"/>
      <c r="V172" s="11"/>
      <c r="W172" s="11"/>
    </row>
    <row r="173" spans="1:23" ht="12" hidden="1">
      <c r="A173" s="55" t="s">
        <v>61</v>
      </c>
      <c r="B173" s="55"/>
      <c r="C173" s="55"/>
      <c r="D173" s="55"/>
      <c r="E173" s="55"/>
      <c r="F173" s="55">
        <f aca="true" t="shared" si="140" ref="F173:P173">IF(F169&gt;3.5,1,IF(F169&gt;=0,ERF(F169),IF(F169&gt;-3.5,-ERF(ABS(F169)),-1)))</f>
        <v>-0.9980806171492725</v>
      </c>
      <c r="G173" s="55">
        <f t="shared" si="140"/>
        <v>-0.9240753635215959</v>
      </c>
      <c r="H173" s="55">
        <f t="shared" si="140"/>
        <v>-0.3453018547117728</v>
      </c>
      <c r="I173" s="55">
        <f t="shared" si="140"/>
        <v>0.6213291518057229</v>
      </c>
      <c r="J173" s="55">
        <f t="shared" si="140"/>
        <v>0.97275160844547</v>
      </c>
      <c r="K173" s="55">
        <f t="shared" si="140"/>
        <v>0.999593047982555</v>
      </c>
      <c r="L173" s="55">
        <f t="shared" si="140"/>
        <v>0.9999988445427717</v>
      </c>
      <c r="M173" s="55">
        <f t="shared" si="140"/>
        <v>1</v>
      </c>
      <c r="N173" s="55">
        <f t="shared" si="140"/>
        <v>1</v>
      </c>
      <c r="O173" s="55">
        <f t="shared" si="140"/>
        <v>1</v>
      </c>
      <c r="P173" s="55">
        <f t="shared" si="140"/>
        <v>1</v>
      </c>
      <c r="Q173" s="11"/>
      <c r="R173" s="11"/>
      <c r="S173" s="11"/>
      <c r="T173" s="11"/>
      <c r="U173" s="11"/>
      <c r="V173" s="11"/>
      <c r="W173" s="11"/>
    </row>
    <row r="174" spans="1:23" ht="12" hidden="1">
      <c r="A174" s="55" t="s">
        <v>62</v>
      </c>
      <c r="B174" s="55"/>
      <c r="C174" s="55"/>
      <c r="D174" s="55"/>
      <c r="E174" s="55"/>
      <c r="F174" s="55">
        <f aca="true" t="shared" si="141" ref="F174:P174">IF(F170&gt;3.5,1,IF(F170&gt;=0,ERF(F170),IF(F170&gt;-3.5,-ERF(ABS(F170)),-1)))</f>
        <v>-1</v>
      </c>
      <c r="G174" s="55">
        <f t="shared" si="141"/>
        <v>-1</v>
      </c>
      <c r="H174" s="55">
        <f t="shared" si="141"/>
        <v>-1</v>
      </c>
      <c r="I174" s="55">
        <f t="shared" si="141"/>
        <v>-1</v>
      </c>
      <c r="J174" s="55">
        <f t="shared" si="141"/>
        <v>-0.9999988445427717</v>
      </c>
      <c r="K174" s="55">
        <f t="shared" si="141"/>
        <v>-0.999593047982555</v>
      </c>
      <c r="L174" s="55">
        <f t="shared" si="141"/>
        <v>-0.97275160844547</v>
      </c>
      <c r="M174" s="55">
        <f t="shared" si="141"/>
        <v>-0.6213291518057229</v>
      </c>
      <c r="N174" s="55">
        <f t="shared" si="141"/>
        <v>0.3453018547117728</v>
      </c>
      <c r="O174" s="55">
        <f t="shared" si="141"/>
        <v>0.9240753635215959</v>
      </c>
      <c r="P174" s="55">
        <f t="shared" si="141"/>
        <v>0.9980806171492725</v>
      </c>
      <c r="Q174" s="11"/>
      <c r="R174" s="11"/>
      <c r="S174" s="11"/>
      <c r="T174" s="11"/>
      <c r="U174" s="11"/>
      <c r="V174" s="11"/>
      <c r="W174" s="11"/>
    </row>
    <row r="175" spans="1:23" ht="12" hidden="1">
      <c r="A175" s="55" t="s">
        <v>63</v>
      </c>
      <c r="B175" s="55"/>
      <c r="C175" s="55"/>
      <c r="D175" s="55"/>
      <c r="E175" s="55"/>
      <c r="F175" s="55">
        <f aca="true" t="shared" si="142" ref="F175:P175">IF(F171&gt;3.5,1,IF(F171&gt;=0,ERF(F171),IF(F171&gt;-3.5,-ERF(ABS(F171)),-1)))</f>
        <v>1</v>
      </c>
      <c r="G175" s="55">
        <f t="shared" si="142"/>
        <v>1</v>
      </c>
      <c r="H175" s="55">
        <f t="shared" si="142"/>
        <v>1</v>
      </c>
      <c r="I175" s="55">
        <f t="shared" si="142"/>
        <v>1</v>
      </c>
      <c r="J175" s="55">
        <f t="shared" si="142"/>
        <v>1</v>
      </c>
      <c r="K175" s="55">
        <f t="shared" si="142"/>
        <v>1</v>
      </c>
      <c r="L175" s="55">
        <f t="shared" si="142"/>
        <v>1</v>
      </c>
      <c r="M175" s="55">
        <f t="shared" si="142"/>
        <v>1</v>
      </c>
      <c r="N175" s="55">
        <f t="shared" si="142"/>
        <v>1</v>
      </c>
      <c r="O175" s="55">
        <f t="shared" si="142"/>
        <v>1</v>
      </c>
      <c r="P175" s="55">
        <f t="shared" si="142"/>
        <v>1</v>
      </c>
      <c r="Q175" s="11"/>
      <c r="R175" s="11"/>
      <c r="S175" s="11"/>
      <c r="T175" s="11"/>
      <c r="U175" s="11"/>
      <c r="V175" s="11"/>
      <c r="W175" s="11"/>
    </row>
    <row r="176" spans="1:23" ht="12" hidden="1">
      <c r="A176" s="55" t="s">
        <v>64</v>
      </c>
      <c r="B176" s="55"/>
      <c r="C176" s="55"/>
      <c r="D176" s="55"/>
      <c r="E176" s="55"/>
      <c r="F176" s="55">
        <f aca="true" t="shared" si="143" ref="F176:P176">IF(F172&gt;3.5,1,IF(F172&gt;=0,ERF(F172),IF(F172&gt;-3.5,-ERF(ABS(F172)),-1)))</f>
        <v>-1</v>
      </c>
      <c r="G176" s="55">
        <f t="shared" si="143"/>
        <v>-1</v>
      </c>
      <c r="H176" s="55">
        <f t="shared" si="143"/>
        <v>-1</v>
      </c>
      <c r="I176" s="55">
        <f t="shared" si="143"/>
        <v>-1</v>
      </c>
      <c r="J176" s="55">
        <f t="shared" si="143"/>
        <v>-1</v>
      </c>
      <c r="K176" s="55">
        <f t="shared" si="143"/>
        <v>-1</v>
      </c>
      <c r="L176" s="55">
        <f t="shared" si="143"/>
        <v>-1</v>
      </c>
      <c r="M176" s="55">
        <f t="shared" si="143"/>
        <v>-1</v>
      </c>
      <c r="N176" s="55">
        <f t="shared" si="143"/>
        <v>-1</v>
      </c>
      <c r="O176" s="55">
        <f t="shared" si="143"/>
        <v>-1</v>
      </c>
      <c r="P176" s="55">
        <f t="shared" si="143"/>
        <v>-1</v>
      </c>
      <c r="Q176" s="11"/>
      <c r="R176" s="11"/>
      <c r="S176" s="11"/>
      <c r="T176" s="11"/>
      <c r="U176" s="11"/>
      <c r="V176" s="11"/>
      <c r="W176" s="11"/>
    </row>
    <row r="177" spans="1:23" ht="12" hidden="1">
      <c r="A177" s="11" t="s">
        <v>73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2" hidden="1">
      <c r="A178" s="55" t="s">
        <v>45</v>
      </c>
      <c r="B178" s="55"/>
      <c r="C178" s="55"/>
      <c r="D178" s="55"/>
      <c r="E178" s="55"/>
      <c r="F178" s="55">
        <f aca="true" t="shared" si="144" ref="F178:P178">$C$21/(2*$B$9)</f>
        <v>2.5</v>
      </c>
      <c r="G178" s="55">
        <f t="shared" si="144"/>
        <v>2.5</v>
      </c>
      <c r="H178" s="55">
        <f t="shared" si="144"/>
        <v>2.5</v>
      </c>
      <c r="I178" s="55">
        <f t="shared" si="144"/>
        <v>2.5</v>
      </c>
      <c r="J178" s="55">
        <f t="shared" si="144"/>
        <v>2.5</v>
      </c>
      <c r="K178" s="55">
        <f t="shared" si="144"/>
        <v>2.5</v>
      </c>
      <c r="L178" s="55">
        <f t="shared" si="144"/>
        <v>2.5</v>
      </c>
      <c r="M178" s="55">
        <f t="shared" si="144"/>
        <v>2.5</v>
      </c>
      <c r="N178" s="55">
        <f t="shared" si="144"/>
        <v>2.5</v>
      </c>
      <c r="O178" s="55">
        <f t="shared" si="144"/>
        <v>2.5</v>
      </c>
      <c r="P178" s="55">
        <f t="shared" si="144"/>
        <v>2.5</v>
      </c>
      <c r="Q178" s="11"/>
      <c r="R178" s="11"/>
      <c r="S178" s="11"/>
      <c r="T178" s="11"/>
      <c r="U178" s="11"/>
      <c r="V178" s="11"/>
      <c r="W178" s="11"/>
    </row>
    <row r="179" spans="1:23" ht="12" hidden="1">
      <c r="A179" s="55" t="s">
        <v>46</v>
      </c>
      <c r="B179" s="55"/>
      <c r="C179" s="55"/>
      <c r="D179" s="55"/>
      <c r="E179" s="55"/>
      <c r="F179" s="55">
        <f aca="true" t="shared" si="145" ref="F179:P179">1-(SQRT(1+(4*$E$9*$B$9)/$H$14))</f>
        <v>-0.5880806024884253</v>
      </c>
      <c r="G179" s="55">
        <f t="shared" si="145"/>
        <v>-0.5880806024884253</v>
      </c>
      <c r="H179" s="55">
        <f t="shared" si="145"/>
        <v>-0.5880806024884253</v>
      </c>
      <c r="I179" s="55">
        <f t="shared" si="145"/>
        <v>-0.5880806024884253</v>
      </c>
      <c r="J179" s="55">
        <f t="shared" si="145"/>
        <v>-0.5880806024884253</v>
      </c>
      <c r="K179" s="55">
        <f t="shared" si="145"/>
        <v>-0.5880806024884253</v>
      </c>
      <c r="L179" s="55">
        <f t="shared" si="145"/>
        <v>-0.5880806024884253</v>
      </c>
      <c r="M179" s="55">
        <f t="shared" si="145"/>
        <v>-0.5880806024884253</v>
      </c>
      <c r="N179" s="55">
        <f t="shared" si="145"/>
        <v>-0.5880806024884253</v>
      </c>
      <c r="O179" s="55">
        <f t="shared" si="145"/>
        <v>-0.5880806024884253</v>
      </c>
      <c r="P179" s="55">
        <f t="shared" si="145"/>
        <v>-0.5880806024884253</v>
      </c>
      <c r="Q179" s="11"/>
      <c r="R179" s="11"/>
      <c r="S179" s="11"/>
      <c r="T179" s="11"/>
      <c r="U179" s="11"/>
      <c r="V179" s="11"/>
      <c r="W179" s="11"/>
    </row>
    <row r="180" spans="1:23" ht="12" hidden="1">
      <c r="A180" s="55" t="s">
        <v>47</v>
      </c>
      <c r="B180" s="55"/>
      <c r="C180" s="55"/>
      <c r="D180" s="55" t="s">
        <v>48</v>
      </c>
      <c r="E180" s="55"/>
      <c r="F180" s="55">
        <f aca="true" t="shared" si="146" ref="F180:P180">EXP(F178*F179)</f>
        <v>0.22987915843879847</v>
      </c>
      <c r="G180" s="55">
        <f t="shared" si="146"/>
        <v>0.22987915843879847</v>
      </c>
      <c r="H180" s="55">
        <f t="shared" si="146"/>
        <v>0.22987915843879847</v>
      </c>
      <c r="I180" s="55">
        <f t="shared" si="146"/>
        <v>0.22987915843879847</v>
      </c>
      <c r="J180" s="55">
        <f t="shared" si="146"/>
        <v>0.22987915843879847</v>
      </c>
      <c r="K180" s="55">
        <f t="shared" si="146"/>
        <v>0.22987915843879847</v>
      </c>
      <c r="L180" s="55">
        <f t="shared" si="146"/>
        <v>0.22987915843879847</v>
      </c>
      <c r="M180" s="55">
        <f t="shared" si="146"/>
        <v>0.22987915843879847</v>
      </c>
      <c r="N180" s="55">
        <f t="shared" si="146"/>
        <v>0.22987915843879847</v>
      </c>
      <c r="O180" s="55">
        <f t="shared" si="146"/>
        <v>0.22987915843879847</v>
      </c>
      <c r="P180" s="55">
        <f t="shared" si="146"/>
        <v>0.22987915843879847</v>
      </c>
      <c r="Q180" s="11"/>
      <c r="R180" s="11"/>
      <c r="S180" s="11"/>
      <c r="T180" s="11"/>
      <c r="U180" s="11"/>
      <c r="V180" s="11"/>
      <c r="W180" s="11"/>
    </row>
    <row r="181" spans="1:23" ht="12" hidden="1">
      <c r="A181" s="55" t="s">
        <v>49</v>
      </c>
      <c r="B181" s="55"/>
      <c r="C181" s="55"/>
      <c r="D181" s="55"/>
      <c r="E181" s="55"/>
      <c r="F181" s="55">
        <f aca="true" t="shared" si="147" ref="F181:P181">$H$14*$H$9</f>
        <v>4.204993429697766E+97</v>
      </c>
      <c r="G181" s="55">
        <f t="shared" si="147"/>
        <v>4.204993429697766E+97</v>
      </c>
      <c r="H181" s="55">
        <f t="shared" si="147"/>
        <v>4.204993429697766E+97</v>
      </c>
      <c r="I181" s="55">
        <f t="shared" si="147"/>
        <v>4.204993429697766E+97</v>
      </c>
      <c r="J181" s="55">
        <f t="shared" si="147"/>
        <v>4.204993429697766E+97</v>
      </c>
      <c r="K181" s="55">
        <f t="shared" si="147"/>
        <v>4.204993429697766E+97</v>
      </c>
      <c r="L181" s="55">
        <f t="shared" si="147"/>
        <v>4.204993429697766E+97</v>
      </c>
      <c r="M181" s="55">
        <f t="shared" si="147"/>
        <v>4.204993429697766E+97</v>
      </c>
      <c r="N181" s="55">
        <f t="shared" si="147"/>
        <v>4.204993429697766E+97</v>
      </c>
      <c r="O181" s="55">
        <f t="shared" si="147"/>
        <v>4.204993429697766E+97</v>
      </c>
      <c r="P181" s="55">
        <f t="shared" si="147"/>
        <v>4.204993429697766E+97</v>
      </c>
      <c r="Q181" s="11"/>
      <c r="R181" s="11"/>
      <c r="S181" s="11"/>
      <c r="T181" s="11"/>
      <c r="U181" s="11"/>
      <c r="V181" s="11"/>
      <c r="W181" s="11"/>
    </row>
    <row r="182" spans="1:23" ht="12" hidden="1">
      <c r="A182" s="55" t="s">
        <v>50</v>
      </c>
      <c r="B182" s="55"/>
      <c r="C182" s="55"/>
      <c r="D182" s="55"/>
      <c r="E182" s="55"/>
      <c r="F182" s="55">
        <f aca="true" t="shared" si="148" ref="F182:P182">SQRT(1+(4*$E$9*$B$9/$H$14))</f>
        <v>1.5880806024884253</v>
      </c>
      <c r="G182" s="55">
        <f t="shared" si="148"/>
        <v>1.5880806024884253</v>
      </c>
      <c r="H182" s="55">
        <f t="shared" si="148"/>
        <v>1.5880806024884253</v>
      </c>
      <c r="I182" s="55">
        <f t="shared" si="148"/>
        <v>1.5880806024884253</v>
      </c>
      <c r="J182" s="55">
        <f t="shared" si="148"/>
        <v>1.5880806024884253</v>
      </c>
      <c r="K182" s="55">
        <f t="shared" si="148"/>
        <v>1.5880806024884253</v>
      </c>
      <c r="L182" s="55">
        <f t="shared" si="148"/>
        <v>1.5880806024884253</v>
      </c>
      <c r="M182" s="55">
        <f t="shared" si="148"/>
        <v>1.5880806024884253</v>
      </c>
      <c r="N182" s="55">
        <f t="shared" si="148"/>
        <v>1.5880806024884253</v>
      </c>
      <c r="O182" s="55">
        <f t="shared" si="148"/>
        <v>1.5880806024884253</v>
      </c>
      <c r="P182" s="55">
        <f t="shared" si="148"/>
        <v>1.5880806024884253</v>
      </c>
      <c r="Q182" s="11"/>
      <c r="R182" s="11"/>
      <c r="S182" s="11"/>
      <c r="T182" s="11"/>
      <c r="U182" s="11"/>
      <c r="V182" s="11"/>
      <c r="W182" s="11"/>
    </row>
    <row r="183" spans="1:23" ht="12" hidden="1">
      <c r="A183" s="55" t="s">
        <v>51</v>
      </c>
      <c r="B183" s="55"/>
      <c r="C183" s="55"/>
      <c r="D183" s="55"/>
      <c r="E183" s="55"/>
      <c r="F183" s="55">
        <f aca="true" t="shared" si="149" ref="F183:P183">($C$21-(F181*F182))/F184</f>
        <v>-1.1513575373063837E+48</v>
      </c>
      <c r="G183" s="55">
        <f t="shared" si="149"/>
        <v>-1.1513575373063837E+48</v>
      </c>
      <c r="H183" s="55">
        <f t="shared" si="149"/>
        <v>-1.1513575373063837E+48</v>
      </c>
      <c r="I183" s="55">
        <f t="shared" si="149"/>
        <v>-1.1513575373063837E+48</v>
      </c>
      <c r="J183" s="55">
        <f t="shared" si="149"/>
        <v>-1.1513575373063837E+48</v>
      </c>
      <c r="K183" s="55">
        <f t="shared" si="149"/>
        <v>-1.1513575373063837E+48</v>
      </c>
      <c r="L183" s="55">
        <f t="shared" si="149"/>
        <v>-1.1513575373063837E+48</v>
      </c>
      <c r="M183" s="55">
        <f t="shared" si="149"/>
        <v>-1.1513575373063837E+48</v>
      </c>
      <c r="N183" s="55">
        <f t="shared" si="149"/>
        <v>-1.1513575373063837E+48</v>
      </c>
      <c r="O183" s="55">
        <f t="shared" si="149"/>
        <v>-1.1513575373063837E+48</v>
      </c>
      <c r="P183" s="55">
        <f t="shared" si="149"/>
        <v>-1.1513575373063837E+48</v>
      </c>
      <c r="Q183" s="11"/>
      <c r="R183" s="11"/>
      <c r="S183" s="11"/>
      <c r="T183" s="11"/>
      <c r="U183" s="11"/>
      <c r="V183" s="11"/>
      <c r="W183" s="11"/>
    </row>
    <row r="184" spans="1:23" ht="12" hidden="1">
      <c r="A184" s="55" t="s">
        <v>52</v>
      </c>
      <c r="B184" s="55"/>
      <c r="C184" s="55"/>
      <c r="D184" s="55"/>
      <c r="E184" s="55"/>
      <c r="F184" s="55">
        <f aca="true" t="shared" si="150" ref="F184:P184">2*SQRT($B$9*$H$14*$H$9)</f>
        <v>5.79999546875531E+49</v>
      </c>
      <c r="G184" s="55">
        <f t="shared" si="150"/>
        <v>5.79999546875531E+49</v>
      </c>
      <c r="H184" s="55">
        <f t="shared" si="150"/>
        <v>5.79999546875531E+49</v>
      </c>
      <c r="I184" s="55">
        <f t="shared" si="150"/>
        <v>5.79999546875531E+49</v>
      </c>
      <c r="J184" s="55">
        <f t="shared" si="150"/>
        <v>5.79999546875531E+49</v>
      </c>
      <c r="K184" s="55">
        <f t="shared" si="150"/>
        <v>5.79999546875531E+49</v>
      </c>
      <c r="L184" s="55">
        <f t="shared" si="150"/>
        <v>5.79999546875531E+49</v>
      </c>
      <c r="M184" s="55">
        <f t="shared" si="150"/>
        <v>5.79999546875531E+49</v>
      </c>
      <c r="N184" s="55">
        <f t="shared" si="150"/>
        <v>5.79999546875531E+49</v>
      </c>
      <c r="O184" s="55">
        <f t="shared" si="150"/>
        <v>5.79999546875531E+49</v>
      </c>
      <c r="P184" s="55">
        <f t="shared" si="150"/>
        <v>5.79999546875531E+49</v>
      </c>
      <c r="Q184" s="11"/>
      <c r="R184" s="11"/>
      <c r="S184" s="11"/>
      <c r="T184" s="11"/>
      <c r="U184" s="11"/>
      <c r="V184" s="11"/>
      <c r="W184" s="11"/>
    </row>
    <row r="185" spans="1:23" ht="12" hidden="1">
      <c r="A185" s="55" t="s">
        <v>53</v>
      </c>
      <c r="B185" s="55"/>
      <c r="C185" s="55"/>
      <c r="D185" s="55"/>
      <c r="E185" s="55"/>
      <c r="F185" s="55">
        <f aca="true" t="shared" si="151" ref="F185:P185">(F182*F183)/F184</f>
        <v>-0.031525</v>
      </c>
      <c r="G185" s="55">
        <f t="shared" si="151"/>
        <v>-0.031525</v>
      </c>
      <c r="H185" s="55">
        <f t="shared" si="151"/>
        <v>-0.031525</v>
      </c>
      <c r="I185" s="55">
        <f t="shared" si="151"/>
        <v>-0.031525</v>
      </c>
      <c r="J185" s="55">
        <f t="shared" si="151"/>
        <v>-0.031525</v>
      </c>
      <c r="K185" s="55">
        <f t="shared" si="151"/>
        <v>-0.031525</v>
      </c>
      <c r="L185" s="55">
        <f t="shared" si="151"/>
        <v>-0.031525</v>
      </c>
      <c r="M185" s="55">
        <f t="shared" si="151"/>
        <v>-0.031525</v>
      </c>
      <c r="N185" s="55">
        <f t="shared" si="151"/>
        <v>-0.031525</v>
      </c>
      <c r="O185" s="55">
        <f t="shared" si="151"/>
        <v>-0.031525</v>
      </c>
      <c r="P185" s="55">
        <f t="shared" si="151"/>
        <v>-0.031525</v>
      </c>
      <c r="Q185" s="11"/>
      <c r="R185" s="11"/>
      <c r="S185" s="11"/>
      <c r="T185" s="11"/>
      <c r="U185" s="11"/>
      <c r="V185" s="11"/>
      <c r="W185" s="11"/>
    </row>
    <row r="186" spans="1:23" ht="12" hidden="1">
      <c r="A186" s="55" t="s">
        <v>54</v>
      </c>
      <c r="B186" s="55"/>
      <c r="C186" s="55"/>
      <c r="D186" s="55"/>
      <c r="E186" s="55"/>
      <c r="F186" s="55">
        <f aca="true" t="shared" si="152" ref="F186:P186">IF(F183&gt;10,0,IF(F183&gt;=0,ERFC(F183),IF(F183&lt;-3.75,2,1+ERF(ABS(F183)))))</f>
        <v>2</v>
      </c>
      <c r="G186" s="55">
        <f t="shared" si="152"/>
        <v>2</v>
      </c>
      <c r="H186" s="55">
        <f t="shared" si="152"/>
        <v>2</v>
      </c>
      <c r="I186" s="55">
        <f t="shared" si="152"/>
        <v>2</v>
      </c>
      <c r="J186" s="55">
        <f t="shared" si="152"/>
        <v>2</v>
      </c>
      <c r="K186" s="55">
        <f t="shared" si="152"/>
        <v>2</v>
      </c>
      <c r="L186" s="55">
        <f t="shared" si="152"/>
        <v>2</v>
      </c>
      <c r="M186" s="55">
        <f t="shared" si="152"/>
        <v>2</v>
      </c>
      <c r="N186" s="55">
        <f t="shared" si="152"/>
        <v>2</v>
      </c>
      <c r="O186" s="55">
        <f t="shared" si="152"/>
        <v>2</v>
      </c>
      <c r="P186" s="55">
        <f t="shared" si="152"/>
        <v>2</v>
      </c>
      <c r="Q186" s="11"/>
      <c r="R186" s="11"/>
      <c r="S186" s="11"/>
      <c r="T186" s="11"/>
      <c r="U186" s="11"/>
      <c r="V186" s="11"/>
      <c r="W186" s="11"/>
    </row>
    <row r="187" spans="1:23" ht="12" hidden="1">
      <c r="A187" s="55" t="s">
        <v>55</v>
      </c>
      <c r="B187" s="55"/>
      <c r="C187" s="55"/>
      <c r="D187" s="55"/>
      <c r="E187" s="55"/>
      <c r="F187" s="55">
        <f aca="true" t="shared" si="153" ref="F187:P187">2*SQRT($C$9*$C$21)</f>
        <v>20</v>
      </c>
      <c r="G187" s="55">
        <f t="shared" si="153"/>
        <v>20</v>
      </c>
      <c r="H187" s="55">
        <f t="shared" si="153"/>
        <v>20</v>
      </c>
      <c r="I187" s="55">
        <f t="shared" si="153"/>
        <v>20</v>
      </c>
      <c r="J187" s="55">
        <f t="shared" si="153"/>
        <v>20</v>
      </c>
      <c r="K187" s="55">
        <f t="shared" si="153"/>
        <v>20</v>
      </c>
      <c r="L187" s="55">
        <f t="shared" si="153"/>
        <v>20</v>
      </c>
      <c r="M187" s="55">
        <f t="shared" si="153"/>
        <v>20</v>
      </c>
      <c r="N187" s="55">
        <f t="shared" si="153"/>
        <v>20</v>
      </c>
      <c r="O187" s="55">
        <f t="shared" si="153"/>
        <v>20</v>
      </c>
      <c r="P187" s="55">
        <f t="shared" si="153"/>
        <v>20</v>
      </c>
      <c r="Q187" s="11"/>
      <c r="R187" s="11"/>
      <c r="S187" s="11"/>
      <c r="T187" s="11"/>
      <c r="U187" s="11"/>
      <c r="V187" s="11"/>
      <c r="W187" s="11"/>
    </row>
    <row r="188" spans="1:23" ht="12" hidden="1">
      <c r="A188" s="55" t="s">
        <v>56</v>
      </c>
      <c r="B188" s="55"/>
      <c r="C188" s="55"/>
      <c r="D188" s="55"/>
      <c r="E188" s="55"/>
      <c r="F188" s="55">
        <f aca="true" t="shared" si="154" ref="F188:P188">2*SQRT($D$9*$C$21)</f>
        <v>0.2</v>
      </c>
      <c r="G188" s="55">
        <f t="shared" si="154"/>
        <v>0.2</v>
      </c>
      <c r="H188" s="55">
        <f t="shared" si="154"/>
        <v>0.2</v>
      </c>
      <c r="I188" s="55">
        <f t="shared" si="154"/>
        <v>0.2</v>
      </c>
      <c r="J188" s="55">
        <f t="shared" si="154"/>
        <v>0.2</v>
      </c>
      <c r="K188" s="55">
        <f t="shared" si="154"/>
        <v>0.2</v>
      </c>
      <c r="L188" s="55">
        <f t="shared" si="154"/>
        <v>0.2</v>
      </c>
      <c r="M188" s="55">
        <f t="shared" si="154"/>
        <v>0.2</v>
      </c>
      <c r="N188" s="55">
        <f t="shared" si="154"/>
        <v>0.2</v>
      </c>
      <c r="O188" s="55">
        <f t="shared" si="154"/>
        <v>0.2</v>
      </c>
      <c r="P188" s="55">
        <f t="shared" si="154"/>
        <v>0.2</v>
      </c>
      <c r="Q188" s="11"/>
      <c r="R188" s="11"/>
      <c r="S188" s="11"/>
      <c r="T188" s="11"/>
      <c r="U188" s="11"/>
      <c r="V188" s="11"/>
      <c r="W188" s="11"/>
    </row>
    <row r="189" spans="1:23" ht="12" hidden="1">
      <c r="A189" s="55" t="s">
        <v>57</v>
      </c>
      <c r="B189" s="55"/>
      <c r="C189" s="55"/>
      <c r="D189" s="55"/>
      <c r="E189" s="55"/>
      <c r="F189" s="55">
        <f aca="true" t="shared" si="155" ref="F189:P189">((E$16+($F$9/2))/F187)</f>
        <v>-2.19375</v>
      </c>
      <c r="G189" s="55">
        <f t="shared" si="155"/>
        <v>-1.2550000000000003</v>
      </c>
      <c r="H189" s="55">
        <f t="shared" si="155"/>
        <v>-0.3162499999999998</v>
      </c>
      <c r="I189" s="55">
        <f t="shared" si="155"/>
        <v>0.6224999999999998</v>
      </c>
      <c r="J189" s="55">
        <f t="shared" si="155"/>
        <v>1.5612499999999998</v>
      </c>
      <c r="K189" s="55">
        <f t="shared" si="155"/>
        <v>2.5</v>
      </c>
      <c r="L189" s="55">
        <f t="shared" si="155"/>
        <v>3.43875</v>
      </c>
      <c r="M189" s="55">
        <f t="shared" si="155"/>
        <v>4.3775</v>
      </c>
      <c r="N189" s="55">
        <f t="shared" si="155"/>
        <v>5.316249999999999</v>
      </c>
      <c r="O189" s="55">
        <f t="shared" si="155"/>
        <v>6.255000000000001</v>
      </c>
      <c r="P189" s="55">
        <f t="shared" si="155"/>
        <v>7.19375</v>
      </c>
      <c r="Q189" s="11"/>
      <c r="R189" s="11"/>
      <c r="S189" s="11"/>
      <c r="T189" s="11"/>
      <c r="U189" s="11"/>
      <c r="V189" s="11"/>
      <c r="W189" s="11"/>
    </row>
    <row r="190" spans="1:23" ht="12" hidden="1">
      <c r="A190" s="55" t="s">
        <v>58</v>
      </c>
      <c r="B190" s="55"/>
      <c r="C190" s="55"/>
      <c r="D190" s="55"/>
      <c r="E190" s="55"/>
      <c r="F190" s="55">
        <f aca="true" t="shared" si="156" ref="F190:P190">((E$16-($F$9/2))/F187)</f>
        <v>-7.19375</v>
      </c>
      <c r="G190" s="55">
        <f t="shared" si="156"/>
        <v>-6.255000000000001</v>
      </c>
      <c r="H190" s="55">
        <f t="shared" si="156"/>
        <v>-5.316249999999999</v>
      </c>
      <c r="I190" s="55">
        <f t="shared" si="156"/>
        <v>-4.3775</v>
      </c>
      <c r="J190" s="55">
        <f t="shared" si="156"/>
        <v>-3.43875</v>
      </c>
      <c r="K190" s="55">
        <f t="shared" si="156"/>
        <v>-2.5</v>
      </c>
      <c r="L190" s="55">
        <f t="shared" si="156"/>
        <v>-1.5612499999999998</v>
      </c>
      <c r="M190" s="55">
        <f t="shared" si="156"/>
        <v>-0.6224999999999998</v>
      </c>
      <c r="N190" s="55">
        <f t="shared" si="156"/>
        <v>0.3162499999999998</v>
      </c>
      <c r="O190" s="55">
        <f t="shared" si="156"/>
        <v>1.2550000000000003</v>
      </c>
      <c r="P190" s="55">
        <f t="shared" si="156"/>
        <v>2.19375</v>
      </c>
      <c r="Q190" s="11"/>
      <c r="R190" s="11"/>
      <c r="S190" s="11"/>
      <c r="T190" s="11"/>
      <c r="U190" s="11"/>
      <c r="V190" s="11"/>
      <c r="W190" s="11"/>
    </row>
    <row r="191" spans="1:23" ht="12" hidden="1">
      <c r="A191" s="55" t="s">
        <v>59</v>
      </c>
      <c r="B191" s="55"/>
      <c r="C191" s="55"/>
      <c r="D191" s="55"/>
      <c r="E191" s="55"/>
      <c r="F191" s="55">
        <f aca="true" t="shared" si="157" ref="F191:P191">($D$24+$G$9)/F188</f>
        <v>13.467000000000002</v>
      </c>
      <c r="G191" s="55">
        <f t="shared" si="157"/>
        <v>13.467000000000002</v>
      </c>
      <c r="H191" s="55">
        <f t="shared" si="157"/>
        <v>13.467000000000002</v>
      </c>
      <c r="I191" s="55">
        <f t="shared" si="157"/>
        <v>13.467000000000002</v>
      </c>
      <c r="J191" s="55">
        <f t="shared" si="157"/>
        <v>13.467000000000002</v>
      </c>
      <c r="K191" s="55">
        <f t="shared" si="157"/>
        <v>13.467000000000002</v>
      </c>
      <c r="L191" s="55">
        <f t="shared" si="157"/>
        <v>13.467000000000002</v>
      </c>
      <c r="M191" s="55">
        <f t="shared" si="157"/>
        <v>13.467000000000002</v>
      </c>
      <c r="N191" s="55">
        <f t="shared" si="157"/>
        <v>13.467000000000002</v>
      </c>
      <c r="O191" s="55">
        <f t="shared" si="157"/>
        <v>13.467000000000002</v>
      </c>
      <c r="P191" s="55">
        <f t="shared" si="157"/>
        <v>13.467000000000002</v>
      </c>
      <c r="Q191" s="11"/>
      <c r="R191" s="11"/>
      <c r="S191" s="11"/>
      <c r="T191" s="11"/>
      <c r="U191" s="11"/>
      <c r="V191" s="11"/>
      <c r="W191" s="11"/>
    </row>
    <row r="192" spans="1:23" ht="12" hidden="1">
      <c r="A192" s="55" t="s">
        <v>60</v>
      </c>
      <c r="B192" s="55"/>
      <c r="C192" s="55"/>
      <c r="D192" s="55"/>
      <c r="E192" s="55"/>
      <c r="F192" s="55">
        <f aca="true" t="shared" si="158" ref="F192:P192">($D$24-$G$9)/F188</f>
        <v>-86.53299999999999</v>
      </c>
      <c r="G192" s="55">
        <f t="shared" si="158"/>
        <v>-86.53299999999999</v>
      </c>
      <c r="H192" s="55">
        <f t="shared" si="158"/>
        <v>-86.53299999999999</v>
      </c>
      <c r="I192" s="55">
        <f t="shared" si="158"/>
        <v>-86.53299999999999</v>
      </c>
      <c r="J192" s="55">
        <f t="shared" si="158"/>
        <v>-86.53299999999999</v>
      </c>
      <c r="K192" s="55">
        <f t="shared" si="158"/>
        <v>-86.53299999999999</v>
      </c>
      <c r="L192" s="55">
        <f t="shared" si="158"/>
        <v>-86.53299999999999</v>
      </c>
      <c r="M192" s="55">
        <f t="shared" si="158"/>
        <v>-86.53299999999999</v>
      </c>
      <c r="N192" s="55">
        <f t="shared" si="158"/>
        <v>-86.53299999999999</v>
      </c>
      <c r="O192" s="55">
        <f t="shared" si="158"/>
        <v>-86.53299999999999</v>
      </c>
      <c r="P192" s="55">
        <f t="shared" si="158"/>
        <v>-86.53299999999999</v>
      </c>
      <c r="Q192" s="11"/>
      <c r="R192" s="11"/>
      <c r="S192" s="11"/>
      <c r="T192" s="11"/>
      <c r="U192" s="11"/>
      <c r="V192" s="11"/>
      <c r="W192" s="11"/>
    </row>
    <row r="193" spans="1:23" ht="12" hidden="1">
      <c r="A193" s="55" t="s">
        <v>61</v>
      </c>
      <c r="B193" s="55"/>
      <c r="C193" s="55"/>
      <c r="D193" s="55"/>
      <c r="E193" s="55"/>
      <c r="F193" s="55">
        <f aca="true" t="shared" si="159" ref="F193:P193">IF(F189&gt;3.5,1,IF(F189&gt;=0,ERF(F189),IF(F189&gt;-3.5,-ERF(ABS(F189)),-1)))</f>
        <v>-0.9980806171492725</v>
      </c>
      <c r="G193" s="55">
        <f t="shared" si="159"/>
        <v>-0.9240753635215959</v>
      </c>
      <c r="H193" s="55">
        <f t="shared" si="159"/>
        <v>-0.3453018547117728</v>
      </c>
      <c r="I193" s="55">
        <f t="shared" si="159"/>
        <v>0.6213291518057229</v>
      </c>
      <c r="J193" s="55">
        <f t="shared" si="159"/>
        <v>0.97275160844547</v>
      </c>
      <c r="K193" s="55">
        <f t="shared" si="159"/>
        <v>0.999593047982555</v>
      </c>
      <c r="L193" s="55">
        <f t="shared" si="159"/>
        <v>0.9999988445427717</v>
      </c>
      <c r="M193" s="55">
        <f t="shared" si="159"/>
        <v>1</v>
      </c>
      <c r="N193" s="55">
        <f t="shared" si="159"/>
        <v>1</v>
      </c>
      <c r="O193" s="55">
        <f t="shared" si="159"/>
        <v>1</v>
      </c>
      <c r="P193" s="55">
        <f t="shared" si="159"/>
        <v>1</v>
      </c>
      <c r="Q193" s="11"/>
      <c r="R193" s="11"/>
      <c r="S193" s="11"/>
      <c r="T193" s="11"/>
      <c r="U193" s="11"/>
      <c r="V193" s="11"/>
      <c r="W193" s="11"/>
    </row>
    <row r="194" spans="1:23" ht="12" hidden="1">
      <c r="A194" s="55" t="s">
        <v>62</v>
      </c>
      <c r="B194" s="55"/>
      <c r="C194" s="55"/>
      <c r="D194" s="55"/>
      <c r="E194" s="55"/>
      <c r="F194" s="55">
        <f aca="true" t="shared" si="160" ref="F194:P194">IF(F190&gt;3.5,1,IF(F190&gt;=0,ERF(F190),IF(F190&gt;-3.5,-ERF(ABS(F190)),-1)))</f>
        <v>-1</v>
      </c>
      <c r="G194" s="55">
        <f t="shared" si="160"/>
        <v>-1</v>
      </c>
      <c r="H194" s="55">
        <f t="shared" si="160"/>
        <v>-1</v>
      </c>
      <c r="I194" s="55">
        <f t="shared" si="160"/>
        <v>-1</v>
      </c>
      <c r="J194" s="55">
        <f t="shared" si="160"/>
        <v>-0.9999988445427717</v>
      </c>
      <c r="K194" s="55">
        <f t="shared" si="160"/>
        <v>-0.999593047982555</v>
      </c>
      <c r="L194" s="55">
        <f t="shared" si="160"/>
        <v>-0.97275160844547</v>
      </c>
      <c r="M194" s="55">
        <f t="shared" si="160"/>
        <v>-0.6213291518057229</v>
      </c>
      <c r="N194" s="55">
        <f t="shared" si="160"/>
        <v>0.3453018547117728</v>
      </c>
      <c r="O194" s="55">
        <f t="shared" si="160"/>
        <v>0.9240753635215959</v>
      </c>
      <c r="P194" s="55">
        <f t="shared" si="160"/>
        <v>0.9980806171492725</v>
      </c>
      <c r="Q194" s="11"/>
      <c r="R194" s="11"/>
      <c r="S194" s="11"/>
      <c r="T194" s="11"/>
      <c r="U194" s="11"/>
      <c r="V194" s="11"/>
      <c r="W194" s="11"/>
    </row>
    <row r="195" spans="1:23" ht="12" hidden="1">
      <c r="A195" s="55" t="s">
        <v>63</v>
      </c>
      <c r="B195" s="55"/>
      <c r="C195" s="55"/>
      <c r="D195" s="55"/>
      <c r="E195" s="55"/>
      <c r="F195" s="55">
        <f aca="true" t="shared" si="161" ref="F195:P195">IF(F191&gt;3.5,1,IF(F191&gt;=0,ERF(F191),IF(F191&gt;-3.5,-ERF(ABS(F191)),-1)))</f>
        <v>1</v>
      </c>
      <c r="G195" s="55">
        <f t="shared" si="161"/>
        <v>1</v>
      </c>
      <c r="H195" s="55">
        <f t="shared" si="161"/>
        <v>1</v>
      </c>
      <c r="I195" s="55">
        <f t="shared" si="161"/>
        <v>1</v>
      </c>
      <c r="J195" s="55">
        <f t="shared" si="161"/>
        <v>1</v>
      </c>
      <c r="K195" s="55">
        <f t="shared" si="161"/>
        <v>1</v>
      </c>
      <c r="L195" s="55">
        <f t="shared" si="161"/>
        <v>1</v>
      </c>
      <c r="M195" s="55">
        <f t="shared" si="161"/>
        <v>1</v>
      </c>
      <c r="N195" s="55">
        <f t="shared" si="161"/>
        <v>1</v>
      </c>
      <c r="O195" s="55">
        <f t="shared" si="161"/>
        <v>1</v>
      </c>
      <c r="P195" s="55">
        <f t="shared" si="161"/>
        <v>1</v>
      </c>
      <c r="Q195" s="11"/>
      <c r="R195" s="11"/>
      <c r="S195" s="11"/>
      <c r="T195" s="11"/>
      <c r="U195" s="11"/>
      <c r="V195" s="11"/>
      <c r="W195" s="11"/>
    </row>
    <row r="196" spans="1:23" ht="12" hidden="1">
      <c r="A196" s="55" t="s">
        <v>64</v>
      </c>
      <c r="B196" s="55"/>
      <c r="C196" s="55"/>
      <c r="D196" s="55"/>
      <c r="E196" s="55"/>
      <c r="F196" s="55">
        <f aca="true" t="shared" si="162" ref="F196:P196">IF(F192&gt;3.5,1,IF(F192&gt;=0,ERF(F192),IF(F192&gt;-3.5,-ERF(ABS(F192)),-1)))</f>
        <v>-1</v>
      </c>
      <c r="G196" s="55">
        <f t="shared" si="162"/>
        <v>-1</v>
      </c>
      <c r="H196" s="55">
        <f t="shared" si="162"/>
        <v>-1</v>
      </c>
      <c r="I196" s="55">
        <f t="shared" si="162"/>
        <v>-1</v>
      </c>
      <c r="J196" s="55">
        <f t="shared" si="162"/>
        <v>-1</v>
      </c>
      <c r="K196" s="55">
        <f t="shared" si="162"/>
        <v>-1</v>
      </c>
      <c r="L196" s="55">
        <f t="shared" si="162"/>
        <v>-1</v>
      </c>
      <c r="M196" s="55">
        <f t="shared" si="162"/>
        <v>-1</v>
      </c>
      <c r="N196" s="55">
        <f t="shared" si="162"/>
        <v>-1</v>
      </c>
      <c r="O196" s="55">
        <f t="shared" si="162"/>
        <v>-1</v>
      </c>
      <c r="P196" s="55">
        <f t="shared" si="162"/>
        <v>-1</v>
      </c>
      <c r="Q196" s="11"/>
      <c r="R196" s="11"/>
      <c r="S196" s="11"/>
      <c r="T196" s="11"/>
      <c r="U196" s="11"/>
      <c r="V196" s="11"/>
      <c r="W196" s="11"/>
    </row>
    <row r="197" spans="1:23" ht="12" hidden="1">
      <c r="A197" s="11" t="s">
        <v>74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2" hidden="1">
      <c r="A198" s="55" t="s">
        <v>45</v>
      </c>
      <c r="B198" s="55"/>
      <c r="C198" s="55"/>
      <c r="D198" s="55"/>
      <c r="E198" s="55"/>
      <c r="F198" s="55">
        <f aca="true" t="shared" si="163" ref="F198:P198">$C$21/(2*$B$9)</f>
        <v>2.5</v>
      </c>
      <c r="G198" s="55">
        <f t="shared" si="163"/>
        <v>2.5</v>
      </c>
      <c r="H198" s="55">
        <f t="shared" si="163"/>
        <v>2.5</v>
      </c>
      <c r="I198" s="55">
        <f t="shared" si="163"/>
        <v>2.5</v>
      </c>
      <c r="J198" s="55">
        <f t="shared" si="163"/>
        <v>2.5</v>
      </c>
      <c r="K198" s="55">
        <f t="shared" si="163"/>
        <v>2.5</v>
      </c>
      <c r="L198" s="55">
        <f t="shared" si="163"/>
        <v>2.5</v>
      </c>
      <c r="M198" s="55">
        <f t="shared" si="163"/>
        <v>2.5</v>
      </c>
      <c r="N198" s="55">
        <f t="shared" si="163"/>
        <v>2.5</v>
      </c>
      <c r="O198" s="55">
        <f t="shared" si="163"/>
        <v>2.5</v>
      </c>
      <c r="P198" s="55">
        <f t="shared" si="163"/>
        <v>2.5</v>
      </c>
      <c r="Q198" s="11"/>
      <c r="R198" s="11"/>
      <c r="S198" s="11"/>
      <c r="T198" s="11"/>
      <c r="U198" s="11"/>
      <c r="V198" s="11"/>
      <c r="W198" s="11"/>
    </row>
    <row r="199" spans="1:23" ht="12" hidden="1">
      <c r="A199" s="55" t="s">
        <v>46</v>
      </c>
      <c r="B199" s="55"/>
      <c r="C199" s="55"/>
      <c r="D199" s="55"/>
      <c r="E199" s="55"/>
      <c r="F199" s="55">
        <f aca="true" t="shared" si="164" ref="F199:P199">1-(SQRT(1+(4*$E$9*$B$9)/$H$14))</f>
        <v>-0.5880806024884253</v>
      </c>
      <c r="G199" s="55">
        <f t="shared" si="164"/>
        <v>-0.5880806024884253</v>
      </c>
      <c r="H199" s="55">
        <f t="shared" si="164"/>
        <v>-0.5880806024884253</v>
      </c>
      <c r="I199" s="55">
        <f t="shared" si="164"/>
        <v>-0.5880806024884253</v>
      </c>
      <c r="J199" s="55">
        <f t="shared" si="164"/>
        <v>-0.5880806024884253</v>
      </c>
      <c r="K199" s="55">
        <f t="shared" si="164"/>
        <v>-0.5880806024884253</v>
      </c>
      <c r="L199" s="55">
        <f t="shared" si="164"/>
        <v>-0.5880806024884253</v>
      </c>
      <c r="M199" s="55">
        <f t="shared" si="164"/>
        <v>-0.5880806024884253</v>
      </c>
      <c r="N199" s="55">
        <f t="shared" si="164"/>
        <v>-0.5880806024884253</v>
      </c>
      <c r="O199" s="55">
        <f t="shared" si="164"/>
        <v>-0.5880806024884253</v>
      </c>
      <c r="P199" s="55">
        <f t="shared" si="164"/>
        <v>-0.5880806024884253</v>
      </c>
      <c r="Q199" s="11"/>
      <c r="R199" s="11"/>
      <c r="S199" s="11"/>
      <c r="T199" s="11"/>
      <c r="U199" s="11"/>
      <c r="V199" s="11"/>
      <c r="W199" s="11"/>
    </row>
    <row r="200" spans="1:23" ht="12" hidden="1">
      <c r="A200" s="55" t="s">
        <v>47</v>
      </c>
      <c r="B200" s="55"/>
      <c r="C200" s="55"/>
      <c r="D200" s="55" t="s">
        <v>48</v>
      </c>
      <c r="E200" s="55"/>
      <c r="F200" s="55">
        <f aca="true" t="shared" si="165" ref="F200:P200">EXP(F198*F199)</f>
        <v>0.22987915843879847</v>
      </c>
      <c r="G200" s="55">
        <f t="shared" si="165"/>
        <v>0.22987915843879847</v>
      </c>
      <c r="H200" s="55">
        <f t="shared" si="165"/>
        <v>0.22987915843879847</v>
      </c>
      <c r="I200" s="55">
        <f t="shared" si="165"/>
        <v>0.22987915843879847</v>
      </c>
      <c r="J200" s="55">
        <f t="shared" si="165"/>
        <v>0.22987915843879847</v>
      </c>
      <c r="K200" s="55">
        <f t="shared" si="165"/>
        <v>0.22987915843879847</v>
      </c>
      <c r="L200" s="55">
        <f t="shared" si="165"/>
        <v>0.22987915843879847</v>
      </c>
      <c r="M200" s="55">
        <f t="shared" si="165"/>
        <v>0.22987915843879847</v>
      </c>
      <c r="N200" s="55">
        <f t="shared" si="165"/>
        <v>0.22987915843879847</v>
      </c>
      <c r="O200" s="55">
        <f t="shared" si="165"/>
        <v>0.22987915843879847</v>
      </c>
      <c r="P200" s="55">
        <f t="shared" si="165"/>
        <v>0.22987915843879847</v>
      </c>
      <c r="Q200" s="11"/>
      <c r="R200" s="11"/>
      <c r="S200" s="11"/>
      <c r="T200" s="11"/>
      <c r="U200" s="11"/>
      <c r="V200" s="11"/>
      <c r="W200" s="11"/>
    </row>
    <row r="201" spans="1:23" ht="12" hidden="1">
      <c r="A201" s="55" t="s">
        <v>49</v>
      </c>
      <c r="B201" s="55"/>
      <c r="C201" s="55"/>
      <c r="D201" s="55"/>
      <c r="E201" s="55"/>
      <c r="F201" s="55">
        <f aca="true" t="shared" si="166" ref="F201:P201">$H$14*$H$9</f>
        <v>4.204993429697766E+97</v>
      </c>
      <c r="G201" s="55">
        <f t="shared" si="166"/>
        <v>4.204993429697766E+97</v>
      </c>
      <c r="H201" s="55">
        <f t="shared" si="166"/>
        <v>4.204993429697766E+97</v>
      </c>
      <c r="I201" s="55">
        <f t="shared" si="166"/>
        <v>4.204993429697766E+97</v>
      </c>
      <c r="J201" s="55">
        <f t="shared" si="166"/>
        <v>4.204993429697766E+97</v>
      </c>
      <c r="K201" s="55">
        <f t="shared" si="166"/>
        <v>4.204993429697766E+97</v>
      </c>
      <c r="L201" s="55">
        <f t="shared" si="166"/>
        <v>4.204993429697766E+97</v>
      </c>
      <c r="M201" s="55">
        <f t="shared" si="166"/>
        <v>4.204993429697766E+97</v>
      </c>
      <c r="N201" s="55">
        <f t="shared" si="166"/>
        <v>4.204993429697766E+97</v>
      </c>
      <c r="O201" s="55">
        <f t="shared" si="166"/>
        <v>4.204993429697766E+97</v>
      </c>
      <c r="P201" s="55">
        <f t="shared" si="166"/>
        <v>4.204993429697766E+97</v>
      </c>
      <c r="Q201" s="11"/>
      <c r="R201" s="11"/>
      <c r="S201" s="11"/>
      <c r="T201" s="11"/>
      <c r="U201" s="11"/>
      <c r="V201" s="11"/>
      <c r="W201" s="11"/>
    </row>
    <row r="202" spans="1:23" ht="12" hidden="1">
      <c r="A202" s="55" t="s">
        <v>50</v>
      </c>
      <c r="B202" s="55"/>
      <c r="C202" s="55"/>
      <c r="D202" s="55"/>
      <c r="E202" s="55"/>
      <c r="F202" s="55">
        <f aca="true" t="shared" si="167" ref="F202:P202">SQRT(1+(4*$E$9*$B$9/$H$14))</f>
        <v>1.5880806024884253</v>
      </c>
      <c r="G202" s="55">
        <f t="shared" si="167"/>
        <v>1.5880806024884253</v>
      </c>
      <c r="H202" s="55">
        <f t="shared" si="167"/>
        <v>1.5880806024884253</v>
      </c>
      <c r="I202" s="55">
        <f t="shared" si="167"/>
        <v>1.5880806024884253</v>
      </c>
      <c r="J202" s="55">
        <f t="shared" si="167"/>
        <v>1.5880806024884253</v>
      </c>
      <c r="K202" s="55">
        <f t="shared" si="167"/>
        <v>1.5880806024884253</v>
      </c>
      <c r="L202" s="55">
        <f t="shared" si="167"/>
        <v>1.5880806024884253</v>
      </c>
      <c r="M202" s="55">
        <f t="shared" si="167"/>
        <v>1.5880806024884253</v>
      </c>
      <c r="N202" s="55">
        <f t="shared" si="167"/>
        <v>1.5880806024884253</v>
      </c>
      <c r="O202" s="55">
        <f t="shared" si="167"/>
        <v>1.5880806024884253</v>
      </c>
      <c r="P202" s="55">
        <f t="shared" si="167"/>
        <v>1.5880806024884253</v>
      </c>
      <c r="Q202" s="11"/>
      <c r="R202" s="11"/>
      <c r="S202" s="11"/>
      <c r="T202" s="11"/>
      <c r="U202" s="11"/>
      <c r="V202" s="11"/>
      <c r="W202" s="11"/>
    </row>
    <row r="203" spans="1:23" ht="12" hidden="1">
      <c r="A203" s="55" t="s">
        <v>51</v>
      </c>
      <c r="B203" s="55"/>
      <c r="C203" s="55"/>
      <c r="D203" s="55"/>
      <c r="E203" s="55"/>
      <c r="F203" s="55">
        <f aca="true" t="shared" si="168" ref="F203:P203">($C$21-(F201*F202))/F204</f>
        <v>-1.1513575373063837E+48</v>
      </c>
      <c r="G203" s="55">
        <f t="shared" si="168"/>
        <v>-1.1513575373063837E+48</v>
      </c>
      <c r="H203" s="55">
        <f t="shared" si="168"/>
        <v>-1.1513575373063837E+48</v>
      </c>
      <c r="I203" s="55">
        <f t="shared" si="168"/>
        <v>-1.1513575373063837E+48</v>
      </c>
      <c r="J203" s="55">
        <f t="shared" si="168"/>
        <v>-1.1513575373063837E+48</v>
      </c>
      <c r="K203" s="55">
        <f t="shared" si="168"/>
        <v>-1.1513575373063837E+48</v>
      </c>
      <c r="L203" s="55">
        <f t="shared" si="168"/>
        <v>-1.1513575373063837E+48</v>
      </c>
      <c r="M203" s="55">
        <f t="shared" si="168"/>
        <v>-1.1513575373063837E+48</v>
      </c>
      <c r="N203" s="55">
        <f t="shared" si="168"/>
        <v>-1.1513575373063837E+48</v>
      </c>
      <c r="O203" s="55">
        <f t="shared" si="168"/>
        <v>-1.1513575373063837E+48</v>
      </c>
      <c r="P203" s="55">
        <f t="shared" si="168"/>
        <v>-1.1513575373063837E+48</v>
      </c>
      <c r="Q203" s="11"/>
      <c r="R203" s="11"/>
      <c r="S203" s="11"/>
      <c r="T203" s="11"/>
      <c r="U203" s="11"/>
      <c r="V203" s="11"/>
      <c r="W203" s="11"/>
    </row>
    <row r="204" spans="1:23" ht="12" hidden="1">
      <c r="A204" s="55" t="s">
        <v>52</v>
      </c>
      <c r="B204" s="55"/>
      <c r="C204" s="55"/>
      <c r="D204" s="55"/>
      <c r="E204" s="55"/>
      <c r="F204" s="55">
        <f aca="true" t="shared" si="169" ref="F204:P204">2*SQRT($B$9*$H$14*$H$9)</f>
        <v>5.79999546875531E+49</v>
      </c>
      <c r="G204" s="55">
        <f t="shared" si="169"/>
        <v>5.79999546875531E+49</v>
      </c>
      <c r="H204" s="55">
        <f t="shared" si="169"/>
        <v>5.79999546875531E+49</v>
      </c>
      <c r="I204" s="55">
        <f t="shared" si="169"/>
        <v>5.79999546875531E+49</v>
      </c>
      <c r="J204" s="55">
        <f t="shared" si="169"/>
        <v>5.79999546875531E+49</v>
      </c>
      <c r="K204" s="55">
        <f t="shared" si="169"/>
        <v>5.79999546875531E+49</v>
      </c>
      <c r="L204" s="55">
        <f t="shared" si="169"/>
        <v>5.79999546875531E+49</v>
      </c>
      <c r="M204" s="55">
        <f t="shared" si="169"/>
        <v>5.79999546875531E+49</v>
      </c>
      <c r="N204" s="55">
        <f t="shared" si="169"/>
        <v>5.79999546875531E+49</v>
      </c>
      <c r="O204" s="55">
        <f t="shared" si="169"/>
        <v>5.79999546875531E+49</v>
      </c>
      <c r="P204" s="55">
        <f t="shared" si="169"/>
        <v>5.79999546875531E+49</v>
      </c>
      <c r="Q204" s="11"/>
      <c r="R204" s="11"/>
      <c r="S204" s="11"/>
      <c r="T204" s="11"/>
      <c r="U204" s="11"/>
      <c r="V204" s="11"/>
      <c r="W204" s="11"/>
    </row>
    <row r="205" spans="1:23" ht="12" hidden="1">
      <c r="A205" s="55" t="s">
        <v>53</v>
      </c>
      <c r="B205" s="55"/>
      <c r="C205" s="55"/>
      <c r="D205" s="55"/>
      <c r="E205" s="55"/>
      <c r="F205" s="55">
        <f aca="true" t="shared" si="170" ref="F205:P205">(F202*F203)/F204</f>
        <v>-0.031525</v>
      </c>
      <c r="G205" s="55">
        <f t="shared" si="170"/>
        <v>-0.031525</v>
      </c>
      <c r="H205" s="55">
        <f t="shared" si="170"/>
        <v>-0.031525</v>
      </c>
      <c r="I205" s="55">
        <f t="shared" si="170"/>
        <v>-0.031525</v>
      </c>
      <c r="J205" s="55">
        <f t="shared" si="170"/>
        <v>-0.031525</v>
      </c>
      <c r="K205" s="55">
        <f t="shared" si="170"/>
        <v>-0.031525</v>
      </c>
      <c r="L205" s="55">
        <f t="shared" si="170"/>
        <v>-0.031525</v>
      </c>
      <c r="M205" s="55">
        <f t="shared" si="170"/>
        <v>-0.031525</v>
      </c>
      <c r="N205" s="55">
        <f t="shared" si="170"/>
        <v>-0.031525</v>
      </c>
      <c r="O205" s="55">
        <f t="shared" si="170"/>
        <v>-0.031525</v>
      </c>
      <c r="P205" s="55">
        <f t="shared" si="170"/>
        <v>-0.031525</v>
      </c>
      <c r="Q205" s="11"/>
      <c r="R205" s="11"/>
      <c r="S205" s="11"/>
      <c r="T205" s="11"/>
      <c r="U205" s="11"/>
      <c r="V205" s="11"/>
      <c r="W205" s="11"/>
    </row>
    <row r="206" spans="1:23" ht="12" hidden="1">
      <c r="A206" s="55" t="s">
        <v>54</v>
      </c>
      <c r="B206" s="55"/>
      <c r="C206" s="55"/>
      <c r="D206" s="55"/>
      <c r="E206" s="55"/>
      <c r="F206" s="55">
        <f aca="true" t="shared" si="171" ref="F206:P206">IF(F203&gt;10,0,IF(F203&gt;=0,ERFC(F203),IF(F203&lt;-3.75,2,1+ERF(ABS(F203)))))</f>
        <v>2</v>
      </c>
      <c r="G206" s="55">
        <f t="shared" si="171"/>
        <v>2</v>
      </c>
      <c r="H206" s="55">
        <f t="shared" si="171"/>
        <v>2</v>
      </c>
      <c r="I206" s="55">
        <f t="shared" si="171"/>
        <v>2</v>
      </c>
      <c r="J206" s="55">
        <f t="shared" si="171"/>
        <v>2</v>
      </c>
      <c r="K206" s="55">
        <f t="shared" si="171"/>
        <v>2</v>
      </c>
      <c r="L206" s="55">
        <f t="shared" si="171"/>
        <v>2</v>
      </c>
      <c r="M206" s="55">
        <f t="shared" si="171"/>
        <v>2</v>
      </c>
      <c r="N206" s="55">
        <f t="shared" si="171"/>
        <v>2</v>
      </c>
      <c r="O206" s="55">
        <f t="shared" si="171"/>
        <v>2</v>
      </c>
      <c r="P206" s="55">
        <f t="shared" si="171"/>
        <v>2</v>
      </c>
      <c r="Q206" s="11"/>
      <c r="R206" s="11"/>
      <c r="S206" s="11"/>
      <c r="T206" s="11"/>
      <c r="U206" s="11"/>
      <c r="V206" s="11"/>
      <c r="W206" s="11"/>
    </row>
    <row r="207" spans="1:23" ht="12" hidden="1">
      <c r="A207" s="55" t="s">
        <v>55</v>
      </c>
      <c r="B207" s="55"/>
      <c r="C207" s="55"/>
      <c r="D207" s="55"/>
      <c r="E207" s="55"/>
      <c r="F207" s="55">
        <f aca="true" t="shared" si="172" ref="F207:P207">2*SQRT($C$9*$C$21)</f>
        <v>20</v>
      </c>
      <c r="G207" s="55">
        <f t="shared" si="172"/>
        <v>20</v>
      </c>
      <c r="H207" s="55">
        <f t="shared" si="172"/>
        <v>20</v>
      </c>
      <c r="I207" s="55">
        <f t="shared" si="172"/>
        <v>20</v>
      </c>
      <c r="J207" s="55">
        <f t="shared" si="172"/>
        <v>20</v>
      </c>
      <c r="K207" s="55">
        <f t="shared" si="172"/>
        <v>20</v>
      </c>
      <c r="L207" s="55">
        <f t="shared" si="172"/>
        <v>20</v>
      </c>
      <c r="M207" s="55">
        <f t="shared" si="172"/>
        <v>20</v>
      </c>
      <c r="N207" s="55">
        <f t="shared" si="172"/>
        <v>20</v>
      </c>
      <c r="O207" s="55">
        <f t="shared" si="172"/>
        <v>20</v>
      </c>
      <c r="P207" s="55">
        <f t="shared" si="172"/>
        <v>20</v>
      </c>
      <c r="Q207" s="11"/>
      <c r="R207" s="11"/>
      <c r="S207" s="11"/>
      <c r="T207" s="11"/>
      <c r="U207" s="11"/>
      <c r="V207" s="11"/>
      <c r="W207" s="11"/>
    </row>
    <row r="208" spans="1:23" ht="12" hidden="1">
      <c r="A208" s="55" t="s">
        <v>56</v>
      </c>
      <c r="B208" s="55"/>
      <c r="C208" s="55"/>
      <c r="D208" s="55"/>
      <c r="E208" s="55"/>
      <c r="F208" s="55">
        <f aca="true" t="shared" si="173" ref="F208:P208">2*SQRT($D$9*$C$21)</f>
        <v>0.2</v>
      </c>
      <c r="G208" s="55">
        <f t="shared" si="173"/>
        <v>0.2</v>
      </c>
      <c r="H208" s="55">
        <f t="shared" si="173"/>
        <v>0.2</v>
      </c>
      <c r="I208" s="55">
        <f t="shared" si="173"/>
        <v>0.2</v>
      </c>
      <c r="J208" s="55">
        <f t="shared" si="173"/>
        <v>0.2</v>
      </c>
      <c r="K208" s="55">
        <f t="shared" si="173"/>
        <v>0.2</v>
      </c>
      <c r="L208" s="55">
        <f t="shared" si="173"/>
        <v>0.2</v>
      </c>
      <c r="M208" s="55">
        <f t="shared" si="173"/>
        <v>0.2</v>
      </c>
      <c r="N208" s="55">
        <f t="shared" si="173"/>
        <v>0.2</v>
      </c>
      <c r="O208" s="55">
        <f t="shared" si="173"/>
        <v>0.2</v>
      </c>
      <c r="P208" s="55">
        <f t="shared" si="173"/>
        <v>0.2</v>
      </c>
      <c r="Q208" s="11"/>
      <c r="R208" s="11"/>
      <c r="S208" s="11"/>
      <c r="T208" s="11"/>
      <c r="U208" s="11"/>
      <c r="V208" s="11"/>
      <c r="W208" s="11"/>
    </row>
    <row r="209" spans="1:23" ht="12" hidden="1">
      <c r="A209" s="55" t="s">
        <v>57</v>
      </c>
      <c r="B209" s="55"/>
      <c r="C209" s="55"/>
      <c r="D209" s="55"/>
      <c r="E209" s="55"/>
      <c r="F209" s="55">
        <f aca="true" t="shared" si="174" ref="F209:P209">((E$16+($F$9/2))/F207)</f>
        <v>-2.19375</v>
      </c>
      <c r="G209" s="55">
        <f t="shared" si="174"/>
        <v>-1.2550000000000003</v>
      </c>
      <c r="H209" s="55">
        <f t="shared" si="174"/>
        <v>-0.3162499999999998</v>
      </c>
      <c r="I209" s="55">
        <f t="shared" si="174"/>
        <v>0.6224999999999998</v>
      </c>
      <c r="J209" s="55">
        <f t="shared" si="174"/>
        <v>1.5612499999999998</v>
      </c>
      <c r="K209" s="55">
        <f t="shared" si="174"/>
        <v>2.5</v>
      </c>
      <c r="L209" s="55">
        <f t="shared" si="174"/>
        <v>3.43875</v>
      </c>
      <c r="M209" s="55">
        <f t="shared" si="174"/>
        <v>4.3775</v>
      </c>
      <c r="N209" s="55">
        <f t="shared" si="174"/>
        <v>5.316249999999999</v>
      </c>
      <c r="O209" s="55">
        <f t="shared" si="174"/>
        <v>6.255000000000001</v>
      </c>
      <c r="P209" s="55">
        <f t="shared" si="174"/>
        <v>7.19375</v>
      </c>
      <c r="Q209" s="11"/>
      <c r="R209" s="11"/>
      <c r="S209" s="11"/>
      <c r="T209" s="11"/>
      <c r="U209" s="11"/>
      <c r="V209" s="11"/>
      <c r="W209" s="11"/>
    </row>
    <row r="210" spans="1:23" ht="12" hidden="1">
      <c r="A210" s="55" t="s">
        <v>58</v>
      </c>
      <c r="B210" s="55"/>
      <c r="C210" s="55"/>
      <c r="D210" s="55"/>
      <c r="E210" s="55"/>
      <c r="F210" s="55">
        <f aca="true" t="shared" si="175" ref="F210:P210">((E$16-($F$9/2))/F207)</f>
        <v>-7.19375</v>
      </c>
      <c r="G210" s="55">
        <f t="shared" si="175"/>
        <v>-6.255000000000001</v>
      </c>
      <c r="H210" s="55">
        <f t="shared" si="175"/>
        <v>-5.316249999999999</v>
      </c>
      <c r="I210" s="55">
        <f t="shared" si="175"/>
        <v>-4.3775</v>
      </c>
      <c r="J210" s="55">
        <f t="shared" si="175"/>
        <v>-3.43875</v>
      </c>
      <c r="K210" s="55">
        <f t="shared" si="175"/>
        <v>-2.5</v>
      </c>
      <c r="L210" s="55">
        <f t="shared" si="175"/>
        <v>-1.5612499999999998</v>
      </c>
      <c r="M210" s="55">
        <f t="shared" si="175"/>
        <v>-0.6224999999999998</v>
      </c>
      <c r="N210" s="55">
        <f t="shared" si="175"/>
        <v>0.3162499999999998</v>
      </c>
      <c r="O210" s="55">
        <f t="shared" si="175"/>
        <v>1.2550000000000003</v>
      </c>
      <c r="P210" s="55">
        <f t="shared" si="175"/>
        <v>2.19375</v>
      </c>
      <c r="Q210" s="11"/>
      <c r="R210" s="11"/>
      <c r="S210" s="11"/>
      <c r="T210" s="11"/>
      <c r="U210" s="11"/>
      <c r="V210" s="11"/>
      <c r="W210" s="11"/>
    </row>
    <row r="211" spans="1:23" ht="12" hidden="1">
      <c r="A211" s="55" t="s">
        <v>59</v>
      </c>
      <c r="B211" s="55"/>
      <c r="C211" s="55"/>
      <c r="D211" s="55"/>
      <c r="E211" s="55"/>
      <c r="F211" s="55">
        <f aca="true" t="shared" si="176" ref="F211:P211">($D$25+$G$9)/F208</f>
        <v>8.247999999999998</v>
      </c>
      <c r="G211" s="55">
        <f t="shared" si="176"/>
        <v>8.247999999999998</v>
      </c>
      <c r="H211" s="55">
        <f t="shared" si="176"/>
        <v>8.247999999999998</v>
      </c>
      <c r="I211" s="55">
        <f t="shared" si="176"/>
        <v>8.247999999999998</v>
      </c>
      <c r="J211" s="55">
        <f t="shared" si="176"/>
        <v>8.247999999999998</v>
      </c>
      <c r="K211" s="55">
        <f t="shared" si="176"/>
        <v>8.247999999999998</v>
      </c>
      <c r="L211" s="55">
        <f t="shared" si="176"/>
        <v>8.247999999999998</v>
      </c>
      <c r="M211" s="55">
        <f t="shared" si="176"/>
        <v>8.247999999999998</v>
      </c>
      <c r="N211" s="55">
        <f t="shared" si="176"/>
        <v>8.247999999999998</v>
      </c>
      <c r="O211" s="55">
        <f t="shared" si="176"/>
        <v>8.247999999999998</v>
      </c>
      <c r="P211" s="55">
        <f t="shared" si="176"/>
        <v>8.247999999999998</v>
      </c>
      <c r="Q211" s="11"/>
      <c r="R211" s="11"/>
      <c r="S211" s="11"/>
      <c r="T211" s="11"/>
      <c r="U211" s="11"/>
      <c r="V211" s="11"/>
      <c r="W211" s="11"/>
    </row>
    <row r="212" spans="1:23" ht="12" hidden="1">
      <c r="A212" s="55" t="s">
        <v>60</v>
      </c>
      <c r="B212" s="55"/>
      <c r="C212" s="55"/>
      <c r="D212" s="55"/>
      <c r="E212" s="55"/>
      <c r="F212" s="55">
        <f aca="true" t="shared" si="177" ref="F212:P212">($D$25-$G$9)/F208</f>
        <v>-91.752</v>
      </c>
      <c r="G212" s="55">
        <f t="shared" si="177"/>
        <v>-91.752</v>
      </c>
      <c r="H212" s="55">
        <f t="shared" si="177"/>
        <v>-91.752</v>
      </c>
      <c r="I212" s="55">
        <f t="shared" si="177"/>
        <v>-91.752</v>
      </c>
      <c r="J212" s="55">
        <f t="shared" si="177"/>
        <v>-91.752</v>
      </c>
      <c r="K212" s="55">
        <f t="shared" si="177"/>
        <v>-91.752</v>
      </c>
      <c r="L212" s="55">
        <f t="shared" si="177"/>
        <v>-91.752</v>
      </c>
      <c r="M212" s="55">
        <f t="shared" si="177"/>
        <v>-91.752</v>
      </c>
      <c r="N212" s="55">
        <f t="shared" si="177"/>
        <v>-91.752</v>
      </c>
      <c r="O212" s="55">
        <f t="shared" si="177"/>
        <v>-91.752</v>
      </c>
      <c r="P212" s="55">
        <f t="shared" si="177"/>
        <v>-91.752</v>
      </c>
      <c r="Q212" s="11"/>
      <c r="R212" s="11"/>
      <c r="S212" s="11"/>
      <c r="T212" s="11"/>
      <c r="U212" s="11"/>
      <c r="V212" s="11"/>
      <c r="W212" s="11"/>
    </row>
    <row r="213" spans="1:23" ht="12" hidden="1">
      <c r="A213" s="55" t="s">
        <v>61</v>
      </c>
      <c r="B213" s="55"/>
      <c r="C213" s="55"/>
      <c r="D213" s="55"/>
      <c r="E213" s="55"/>
      <c r="F213" s="55">
        <f aca="true" t="shared" si="178" ref="F213:P213">IF(F209&gt;3.5,1,IF(F209&gt;=0,ERF(F209),IF(F209&gt;-3.5,-ERF(ABS(F209)),-1)))</f>
        <v>-0.9980806171492725</v>
      </c>
      <c r="G213" s="55">
        <f t="shared" si="178"/>
        <v>-0.9240753635215959</v>
      </c>
      <c r="H213" s="55">
        <f t="shared" si="178"/>
        <v>-0.3453018547117728</v>
      </c>
      <c r="I213" s="55">
        <f t="shared" si="178"/>
        <v>0.6213291518057229</v>
      </c>
      <c r="J213" s="55">
        <f t="shared" si="178"/>
        <v>0.97275160844547</v>
      </c>
      <c r="K213" s="55">
        <f t="shared" si="178"/>
        <v>0.999593047982555</v>
      </c>
      <c r="L213" s="55">
        <f t="shared" si="178"/>
        <v>0.9999988445427717</v>
      </c>
      <c r="M213" s="55">
        <f t="shared" si="178"/>
        <v>1</v>
      </c>
      <c r="N213" s="55">
        <f t="shared" si="178"/>
        <v>1</v>
      </c>
      <c r="O213" s="55">
        <f t="shared" si="178"/>
        <v>1</v>
      </c>
      <c r="P213" s="55">
        <f t="shared" si="178"/>
        <v>1</v>
      </c>
      <c r="Q213" s="11"/>
      <c r="R213" s="11"/>
      <c r="S213" s="11"/>
      <c r="T213" s="11"/>
      <c r="U213" s="11"/>
      <c r="V213" s="11"/>
      <c r="W213" s="11"/>
    </row>
    <row r="214" spans="1:23" ht="12" hidden="1">
      <c r="A214" s="55" t="s">
        <v>62</v>
      </c>
      <c r="B214" s="55"/>
      <c r="C214" s="55"/>
      <c r="D214" s="55"/>
      <c r="E214" s="55"/>
      <c r="F214" s="55">
        <f aca="true" t="shared" si="179" ref="F214:P214">IF(F210&gt;3.5,1,IF(F210&gt;=0,ERF(F210),IF(F210&gt;-3.5,-ERF(ABS(F210)),-1)))</f>
        <v>-1</v>
      </c>
      <c r="G214" s="55">
        <f t="shared" si="179"/>
        <v>-1</v>
      </c>
      <c r="H214" s="55">
        <f t="shared" si="179"/>
        <v>-1</v>
      </c>
      <c r="I214" s="55">
        <f t="shared" si="179"/>
        <v>-1</v>
      </c>
      <c r="J214" s="55">
        <f t="shared" si="179"/>
        <v>-0.9999988445427717</v>
      </c>
      <c r="K214" s="55">
        <f t="shared" si="179"/>
        <v>-0.999593047982555</v>
      </c>
      <c r="L214" s="55">
        <f t="shared" si="179"/>
        <v>-0.97275160844547</v>
      </c>
      <c r="M214" s="55">
        <f t="shared" si="179"/>
        <v>-0.6213291518057229</v>
      </c>
      <c r="N214" s="55">
        <f t="shared" si="179"/>
        <v>0.3453018547117728</v>
      </c>
      <c r="O214" s="55">
        <f t="shared" si="179"/>
        <v>0.9240753635215959</v>
      </c>
      <c r="P214" s="55">
        <f t="shared" si="179"/>
        <v>0.9980806171492725</v>
      </c>
      <c r="Q214" s="11"/>
      <c r="R214" s="11"/>
      <c r="S214" s="11"/>
      <c r="T214" s="11"/>
      <c r="U214" s="11"/>
      <c r="V214" s="11"/>
      <c r="W214" s="11"/>
    </row>
    <row r="215" spans="1:23" ht="12" hidden="1">
      <c r="A215" s="55" t="s">
        <v>63</v>
      </c>
      <c r="B215" s="55"/>
      <c r="C215" s="55"/>
      <c r="D215" s="55"/>
      <c r="E215" s="55"/>
      <c r="F215" s="55">
        <f aca="true" t="shared" si="180" ref="F215:P215">IF(F211&gt;3.5,1,IF(F211&gt;=0,ERF(F211),IF(F211&gt;-3.5,-ERF(ABS(F211)),-1)))</f>
        <v>1</v>
      </c>
      <c r="G215" s="55">
        <f t="shared" si="180"/>
        <v>1</v>
      </c>
      <c r="H215" s="55">
        <f t="shared" si="180"/>
        <v>1</v>
      </c>
      <c r="I215" s="55">
        <f t="shared" si="180"/>
        <v>1</v>
      </c>
      <c r="J215" s="55">
        <f t="shared" si="180"/>
        <v>1</v>
      </c>
      <c r="K215" s="55">
        <f t="shared" si="180"/>
        <v>1</v>
      </c>
      <c r="L215" s="55">
        <f t="shared" si="180"/>
        <v>1</v>
      </c>
      <c r="M215" s="55">
        <f t="shared" si="180"/>
        <v>1</v>
      </c>
      <c r="N215" s="55">
        <f t="shared" si="180"/>
        <v>1</v>
      </c>
      <c r="O215" s="55">
        <f t="shared" si="180"/>
        <v>1</v>
      </c>
      <c r="P215" s="55">
        <f t="shared" si="180"/>
        <v>1</v>
      </c>
      <c r="Q215" s="11"/>
      <c r="R215" s="11"/>
      <c r="S215" s="11"/>
      <c r="T215" s="11"/>
      <c r="U215" s="11"/>
      <c r="V215" s="11"/>
      <c r="W215" s="11"/>
    </row>
    <row r="216" spans="1:23" ht="12" hidden="1">
      <c r="A216" s="55" t="s">
        <v>64</v>
      </c>
      <c r="B216" s="55"/>
      <c r="C216" s="55"/>
      <c r="D216" s="55"/>
      <c r="E216" s="55"/>
      <c r="F216" s="55">
        <f aca="true" t="shared" si="181" ref="F216:P216">IF(F212&gt;3.5,1,IF(F212&gt;=0,ERF(F212),IF(F212&gt;-3.5,-ERF(ABS(F212)),-1)))</f>
        <v>-1</v>
      </c>
      <c r="G216" s="55">
        <f t="shared" si="181"/>
        <v>-1</v>
      </c>
      <c r="H216" s="55">
        <f t="shared" si="181"/>
        <v>-1</v>
      </c>
      <c r="I216" s="55">
        <f t="shared" si="181"/>
        <v>-1</v>
      </c>
      <c r="J216" s="55">
        <f t="shared" si="181"/>
        <v>-1</v>
      </c>
      <c r="K216" s="55">
        <f t="shared" si="181"/>
        <v>-1</v>
      </c>
      <c r="L216" s="55">
        <f t="shared" si="181"/>
        <v>-1</v>
      </c>
      <c r="M216" s="55">
        <f t="shared" si="181"/>
        <v>-1</v>
      </c>
      <c r="N216" s="55">
        <f t="shared" si="181"/>
        <v>-1</v>
      </c>
      <c r="O216" s="55">
        <f t="shared" si="181"/>
        <v>-1</v>
      </c>
      <c r="P216" s="55">
        <f t="shared" si="181"/>
        <v>-1</v>
      </c>
      <c r="Q216" s="11"/>
      <c r="R216" s="11"/>
      <c r="S216" s="11"/>
      <c r="T216" s="11"/>
      <c r="U216" s="11"/>
      <c r="V216" s="11"/>
      <c r="W216" s="11"/>
    </row>
    <row r="217" spans="1:23" ht="12" hidden="1">
      <c r="A217" s="57" t="s">
        <v>75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11"/>
      <c r="R217" s="11"/>
      <c r="S217" s="11"/>
      <c r="T217" s="11"/>
      <c r="U217" s="11"/>
      <c r="V217" s="11"/>
      <c r="W217" s="11"/>
    </row>
    <row r="218" spans="1:23" ht="12" hidden="1">
      <c r="A218" s="55" t="s">
        <v>45</v>
      </c>
      <c r="B218" s="55"/>
      <c r="C218" s="55"/>
      <c r="D218" s="55"/>
      <c r="E218" s="55"/>
      <c r="F218" s="55">
        <f aca="true" t="shared" si="182" ref="F218:P218">$C$21/(2*$B$9)</f>
        <v>2.5</v>
      </c>
      <c r="G218" s="55">
        <f t="shared" si="182"/>
        <v>2.5</v>
      </c>
      <c r="H218" s="55">
        <f t="shared" si="182"/>
        <v>2.5</v>
      </c>
      <c r="I218" s="55">
        <f t="shared" si="182"/>
        <v>2.5</v>
      </c>
      <c r="J218" s="55">
        <f t="shared" si="182"/>
        <v>2.5</v>
      </c>
      <c r="K218" s="55">
        <f t="shared" si="182"/>
        <v>2.5</v>
      </c>
      <c r="L218" s="55">
        <f t="shared" si="182"/>
        <v>2.5</v>
      </c>
      <c r="M218" s="55">
        <f t="shared" si="182"/>
        <v>2.5</v>
      </c>
      <c r="N218" s="55">
        <f t="shared" si="182"/>
        <v>2.5</v>
      </c>
      <c r="O218" s="55">
        <f t="shared" si="182"/>
        <v>2.5</v>
      </c>
      <c r="P218" s="55">
        <f t="shared" si="182"/>
        <v>2.5</v>
      </c>
      <c r="Q218" s="11"/>
      <c r="R218" s="11"/>
      <c r="S218" s="11"/>
      <c r="T218" s="11"/>
      <c r="U218" s="11"/>
      <c r="V218" s="11"/>
      <c r="W218" s="11"/>
    </row>
    <row r="219" spans="1:23" ht="12" hidden="1">
      <c r="A219" s="55" t="s">
        <v>46</v>
      </c>
      <c r="B219" s="55"/>
      <c r="C219" s="55"/>
      <c r="D219" s="55"/>
      <c r="E219" s="55"/>
      <c r="F219" s="55">
        <f aca="true" t="shared" si="183" ref="F219:P219">1-(SQRT(1+(4*$E$9*$B$9)/$H$14))</f>
        <v>-0.5880806024884253</v>
      </c>
      <c r="G219" s="55">
        <f t="shared" si="183"/>
        <v>-0.5880806024884253</v>
      </c>
      <c r="H219" s="55">
        <f t="shared" si="183"/>
        <v>-0.5880806024884253</v>
      </c>
      <c r="I219" s="55">
        <f t="shared" si="183"/>
        <v>-0.5880806024884253</v>
      </c>
      <c r="J219" s="55">
        <f t="shared" si="183"/>
        <v>-0.5880806024884253</v>
      </c>
      <c r="K219" s="55">
        <f t="shared" si="183"/>
        <v>-0.5880806024884253</v>
      </c>
      <c r="L219" s="55">
        <f t="shared" si="183"/>
        <v>-0.5880806024884253</v>
      </c>
      <c r="M219" s="55">
        <f t="shared" si="183"/>
        <v>-0.5880806024884253</v>
      </c>
      <c r="N219" s="55">
        <f t="shared" si="183"/>
        <v>-0.5880806024884253</v>
      </c>
      <c r="O219" s="55">
        <f t="shared" si="183"/>
        <v>-0.5880806024884253</v>
      </c>
      <c r="P219" s="55">
        <f t="shared" si="183"/>
        <v>-0.5880806024884253</v>
      </c>
      <c r="Q219" s="11"/>
      <c r="R219" s="11"/>
      <c r="S219" s="11"/>
      <c r="T219" s="11"/>
      <c r="U219" s="11"/>
      <c r="V219" s="11"/>
      <c r="W219" s="11"/>
    </row>
    <row r="220" spans="1:23" ht="12" hidden="1">
      <c r="A220" s="55" t="s">
        <v>47</v>
      </c>
      <c r="B220" s="55"/>
      <c r="C220" s="55"/>
      <c r="D220" s="55" t="s">
        <v>48</v>
      </c>
      <c r="E220" s="55"/>
      <c r="F220" s="55">
        <f aca="true" t="shared" si="184" ref="F220:P220">EXP(F218*F219)</f>
        <v>0.22987915843879847</v>
      </c>
      <c r="G220" s="55">
        <f t="shared" si="184"/>
        <v>0.22987915843879847</v>
      </c>
      <c r="H220" s="55">
        <f t="shared" si="184"/>
        <v>0.22987915843879847</v>
      </c>
      <c r="I220" s="55">
        <f t="shared" si="184"/>
        <v>0.22987915843879847</v>
      </c>
      <c r="J220" s="55">
        <f t="shared" si="184"/>
        <v>0.22987915843879847</v>
      </c>
      <c r="K220" s="55">
        <f t="shared" si="184"/>
        <v>0.22987915843879847</v>
      </c>
      <c r="L220" s="55">
        <f t="shared" si="184"/>
        <v>0.22987915843879847</v>
      </c>
      <c r="M220" s="55">
        <f t="shared" si="184"/>
        <v>0.22987915843879847</v>
      </c>
      <c r="N220" s="55">
        <f t="shared" si="184"/>
        <v>0.22987915843879847</v>
      </c>
      <c r="O220" s="55">
        <f t="shared" si="184"/>
        <v>0.22987915843879847</v>
      </c>
      <c r="P220" s="55">
        <f t="shared" si="184"/>
        <v>0.22987915843879847</v>
      </c>
      <c r="Q220" s="11"/>
      <c r="R220" s="11"/>
      <c r="S220" s="11"/>
      <c r="T220" s="11"/>
      <c r="U220" s="11"/>
      <c r="V220" s="11"/>
      <c r="W220" s="11"/>
    </row>
    <row r="221" spans="1:23" ht="12" hidden="1">
      <c r="A221" s="55" t="s">
        <v>49</v>
      </c>
      <c r="B221" s="55"/>
      <c r="C221" s="55"/>
      <c r="D221" s="55"/>
      <c r="E221" s="55"/>
      <c r="F221" s="55">
        <f aca="true" t="shared" si="185" ref="F221:P221">$H$14*$H$9</f>
        <v>4.204993429697766E+97</v>
      </c>
      <c r="G221" s="55">
        <f t="shared" si="185"/>
        <v>4.204993429697766E+97</v>
      </c>
      <c r="H221" s="55">
        <f t="shared" si="185"/>
        <v>4.204993429697766E+97</v>
      </c>
      <c r="I221" s="55">
        <f t="shared" si="185"/>
        <v>4.204993429697766E+97</v>
      </c>
      <c r="J221" s="55">
        <f t="shared" si="185"/>
        <v>4.204993429697766E+97</v>
      </c>
      <c r="K221" s="55">
        <f t="shared" si="185"/>
        <v>4.204993429697766E+97</v>
      </c>
      <c r="L221" s="55">
        <f t="shared" si="185"/>
        <v>4.204993429697766E+97</v>
      </c>
      <c r="M221" s="55">
        <f t="shared" si="185"/>
        <v>4.204993429697766E+97</v>
      </c>
      <c r="N221" s="55">
        <f t="shared" si="185"/>
        <v>4.204993429697766E+97</v>
      </c>
      <c r="O221" s="55">
        <f t="shared" si="185"/>
        <v>4.204993429697766E+97</v>
      </c>
      <c r="P221" s="55">
        <f t="shared" si="185"/>
        <v>4.204993429697766E+97</v>
      </c>
      <c r="Q221" s="11"/>
      <c r="R221" s="11"/>
      <c r="S221" s="11"/>
      <c r="T221" s="11"/>
      <c r="U221" s="11"/>
      <c r="V221" s="11"/>
      <c r="W221" s="11"/>
    </row>
    <row r="222" spans="1:23" ht="12" hidden="1">
      <c r="A222" s="55" t="s">
        <v>50</v>
      </c>
      <c r="B222" s="55"/>
      <c r="C222" s="55"/>
      <c r="D222" s="55"/>
      <c r="E222" s="55"/>
      <c r="F222" s="55">
        <f aca="true" t="shared" si="186" ref="F222:P222">SQRT(1+(4*$E$9*$B$9/$H$14))</f>
        <v>1.5880806024884253</v>
      </c>
      <c r="G222" s="55">
        <f t="shared" si="186"/>
        <v>1.5880806024884253</v>
      </c>
      <c r="H222" s="55">
        <f t="shared" si="186"/>
        <v>1.5880806024884253</v>
      </c>
      <c r="I222" s="55">
        <f t="shared" si="186"/>
        <v>1.5880806024884253</v>
      </c>
      <c r="J222" s="55">
        <f t="shared" si="186"/>
        <v>1.5880806024884253</v>
      </c>
      <c r="K222" s="55">
        <f t="shared" si="186"/>
        <v>1.5880806024884253</v>
      </c>
      <c r="L222" s="55">
        <f t="shared" si="186"/>
        <v>1.5880806024884253</v>
      </c>
      <c r="M222" s="55">
        <f t="shared" si="186"/>
        <v>1.5880806024884253</v>
      </c>
      <c r="N222" s="55">
        <f t="shared" si="186"/>
        <v>1.5880806024884253</v>
      </c>
      <c r="O222" s="55">
        <f t="shared" si="186"/>
        <v>1.5880806024884253</v>
      </c>
      <c r="P222" s="55">
        <f t="shared" si="186"/>
        <v>1.5880806024884253</v>
      </c>
      <c r="Q222" s="11"/>
      <c r="R222" s="11"/>
      <c r="S222" s="11"/>
      <c r="T222" s="11"/>
      <c r="U222" s="11"/>
      <c r="V222" s="11"/>
      <c r="W222" s="11"/>
    </row>
    <row r="223" spans="1:23" ht="12" hidden="1">
      <c r="A223" s="55" t="s">
        <v>51</v>
      </c>
      <c r="B223" s="55"/>
      <c r="C223" s="55"/>
      <c r="D223" s="55"/>
      <c r="E223" s="55"/>
      <c r="F223" s="55">
        <f aca="true" t="shared" si="187" ref="F223:P223">($C$21-(F221*F222))/F224</f>
        <v>-1.1513575373063837E+48</v>
      </c>
      <c r="G223" s="55">
        <f t="shared" si="187"/>
        <v>-1.1513575373063837E+48</v>
      </c>
      <c r="H223" s="55">
        <f t="shared" si="187"/>
        <v>-1.1513575373063837E+48</v>
      </c>
      <c r="I223" s="55">
        <f t="shared" si="187"/>
        <v>-1.1513575373063837E+48</v>
      </c>
      <c r="J223" s="55">
        <f t="shared" si="187"/>
        <v>-1.1513575373063837E+48</v>
      </c>
      <c r="K223" s="55">
        <f t="shared" si="187"/>
        <v>-1.1513575373063837E+48</v>
      </c>
      <c r="L223" s="55">
        <f t="shared" si="187"/>
        <v>-1.1513575373063837E+48</v>
      </c>
      <c r="M223" s="55">
        <f t="shared" si="187"/>
        <v>-1.1513575373063837E+48</v>
      </c>
      <c r="N223" s="55">
        <f t="shared" si="187"/>
        <v>-1.1513575373063837E+48</v>
      </c>
      <c r="O223" s="55">
        <f t="shared" si="187"/>
        <v>-1.1513575373063837E+48</v>
      </c>
      <c r="P223" s="55">
        <f t="shared" si="187"/>
        <v>-1.1513575373063837E+48</v>
      </c>
      <c r="Q223" s="11"/>
      <c r="R223" s="11"/>
      <c r="S223" s="11"/>
      <c r="T223" s="11"/>
      <c r="U223" s="11"/>
      <c r="V223" s="11"/>
      <c r="W223" s="11"/>
    </row>
    <row r="224" spans="1:23" ht="12" hidden="1">
      <c r="A224" s="55" t="s">
        <v>52</v>
      </c>
      <c r="B224" s="55"/>
      <c r="C224" s="55"/>
      <c r="D224" s="55"/>
      <c r="E224" s="55"/>
      <c r="F224" s="55">
        <f aca="true" t="shared" si="188" ref="F224:P224">2*SQRT($B$9*$H$14*$H$9)</f>
        <v>5.79999546875531E+49</v>
      </c>
      <c r="G224" s="55">
        <f t="shared" si="188"/>
        <v>5.79999546875531E+49</v>
      </c>
      <c r="H224" s="55">
        <f t="shared" si="188"/>
        <v>5.79999546875531E+49</v>
      </c>
      <c r="I224" s="55">
        <f t="shared" si="188"/>
        <v>5.79999546875531E+49</v>
      </c>
      <c r="J224" s="55">
        <f t="shared" si="188"/>
        <v>5.79999546875531E+49</v>
      </c>
      <c r="K224" s="55">
        <f t="shared" si="188"/>
        <v>5.79999546875531E+49</v>
      </c>
      <c r="L224" s="55">
        <f t="shared" si="188"/>
        <v>5.79999546875531E+49</v>
      </c>
      <c r="M224" s="55">
        <f t="shared" si="188"/>
        <v>5.79999546875531E+49</v>
      </c>
      <c r="N224" s="55">
        <f t="shared" si="188"/>
        <v>5.79999546875531E+49</v>
      </c>
      <c r="O224" s="55">
        <f t="shared" si="188"/>
        <v>5.79999546875531E+49</v>
      </c>
      <c r="P224" s="55">
        <f t="shared" si="188"/>
        <v>5.79999546875531E+49</v>
      </c>
      <c r="Q224" s="11"/>
      <c r="R224" s="11"/>
      <c r="S224" s="11"/>
      <c r="T224" s="11"/>
      <c r="U224" s="11"/>
      <c r="V224" s="11"/>
      <c r="W224" s="11"/>
    </row>
    <row r="225" spans="1:23" ht="12" hidden="1">
      <c r="A225" s="55" t="s">
        <v>53</v>
      </c>
      <c r="B225" s="55"/>
      <c r="C225" s="55"/>
      <c r="D225" s="55"/>
      <c r="E225" s="55"/>
      <c r="F225" s="55">
        <f aca="true" t="shared" si="189" ref="F225:P225">(F222*F223)/F224</f>
        <v>-0.031525</v>
      </c>
      <c r="G225" s="55">
        <f t="shared" si="189"/>
        <v>-0.031525</v>
      </c>
      <c r="H225" s="55">
        <f t="shared" si="189"/>
        <v>-0.031525</v>
      </c>
      <c r="I225" s="55">
        <f t="shared" si="189"/>
        <v>-0.031525</v>
      </c>
      <c r="J225" s="55">
        <f t="shared" si="189"/>
        <v>-0.031525</v>
      </c>
      <c r="K225" s="55">
        <f t="shared" si="189"/>
        <v>-0.031525</v>
      </c>
      <c r="L225" s="55">
        <f t="shared" si="189"/>
        <v>-0.031525</v>
      </c>
      <c r="M225" s="55">
        <f t="shared" si="189"/>
        <v>-0.031525</v>
      </c>
      <c r="N225" s="55">
        <f t="shared" si="189"/>
        <v>-0.031525</v>
      </c>
      <c r="O225" s="55">
        <f t="shared" si="189"/>
        <v>-0.031525</v>
      </c>
      <c r="P225" s="55">
        <f t="shared" si="189"/>
        <v>-0.031525</v>
      </c>
      <c r="Q225" s="11"/>
      <c r="R225" s="11"/>
      <c r="S225" s="11"/>
      <c r="T225" s="11"/>
      <c r="U225" s="11"/>
      <c r="V225" s="11"/>
      <c r="W225" s="11"/>
    </row>
    <row r="226" spans="1:23" ht="12" hidden="1">
      <c r="A226" s="55" t="s">
        <v>54</v>
      </c>
      <c r="B226" s="55"/>
      <c r="C226" s="55"/>
      <c r="D226" s="55"/>
      <c r="E226" s="55"/>
      <c r="F226" s="55">
        <f aca="true" t="shared" si="190" ref="F226:P226">IF(F223&gt;10,0,IF(F223&gt;=0,ERFC(F223),IF(F223&lt;-3.75,2,1+ERF(ABS(F223)))))</f>
        <v>2</v>
      </c>
      <c r="G226" s="55">
        <f t="shared" si="190"/>
        <v>2</v>
      </c>
      <c r="H226" s="55">
        <f t="shared" si="190"/>
        <v>2</v>
      </c>
      <c r="I226" s="55">
        <f t="shared" si="190"/>
        <v>2</v>
      </c>
      <c r="J226" s="55">
        <f t="shared" si="190"/>
        <v>2</v>
      </c>
      <c r="K226" s="55">
        <f t="shared" si="190"/>
        <v>2</v>
      </c>
      <c r="L226" s="55">
        <f t="shared" si="190"/>
        <v>2</v>
      </c>
      <c r="M226" s="55">
        <f t="shared" si="190"/>
        <v>2</v>
      </c>
      <c r="N226" s="55">
        <f t="shared" si="190"/>
        <v>2</v>
      </c>
      <c r="O226" s="55">
        <f t="shared" si="190"/>
        <v>2</v>
      </c>
      <c r="P226" s="55">
        <f t="shared" si="190"/>
        <v>2</v>
      </c>
      <c r="Q226" s="11"/>
      <c r="R226" s="11"/>
      <c r="S226" s="11"/>
      <c r="T226" s="11"/>
      <c r="U226" s="11"/>
      <c r="V226" s="11"/>
      <c r="W226" s="11"/>
    </row>
    <row r="227" spans="1:23" ht="12" hidden="1">
      <c r="A227" s="55" t="s">
        <v>55</v>
      </c>
      <c r="B227" s="55"/>
      <c r="C227" s="55"/>
      <c r="D227" s="55"/>
      <c r="E227" s="55"/>
      <c r="F227" s="55">
        <f aca="true" t="shared" si="191" ref="F227:P227">2*SQRT($C$9*$C$21)</f>
        <v>20</v>
      </c>
      <c r="G227" s="55">
        <f t="shared" si="191"/>
        <v>20</v>
      </c>
      <c r="H227" s="55">
        <f t="shared" si="191"/>
        <v>20</v>
      </c>
      <c r="I227" s="55">
        <f t="shared" si="191"/>
        <v>20</v>
      </c>
      <c r="J227" s="55">
        <f t="shared" si="191"/>
        <v>20</v>
      </c>
      <c r="K227" s="55">
        <f t="shared" si="191"/>
        <v>20</v>
      </c>
      <c r="L227" s="55">
        <f t="shared" si="191"/>
        <v>20</v>
      </c>
      <c r="M227" s="55">
        <f t="shared" si="191"/>
        <v>20</v>
      </c>
      <c r="N227" s="55">
        <f t="shared" si="191"/>
        <v>20</v>
      </c>
      <c r="O227" s="55">
        <f t="shared" si="191"/>
        <v>20</v>
      </c>
      <c r="P227" s="55">
        <f t="shared" si="191"/>
        <v>20</v>
      </c>
      <c r="Q227" s="11"/>
      <c r="R227" s="11"/>
      <c r="S227" s="11"/>
      <c r="T227" s="11"/>
      <c r="U227" s="11"/>
      <c r="V227" s="11"/>
      <c r="W227" s="11"/>
    </row>
    <row r="228" spans="1:23" ht="12" hidden="1">
      <c r="A228" s="55" t="s">
        <v>56</v>
      </c>
      <c r="B228" s="55"/>
      <c r="C228" s="55"/>
      <c r="D228" s="55"/>
      <c r="E228" s="55"/>
      <c r="F228" s="55">
        <f aca="true" t="shared" si="192" ref="F228:P228">2*SQRT($D$9*$C$21)</f>
        <v>0.2</v>
      </c>
      <c r="G228" s="55">
        <f t="shared" si="192"/>
        <v>0.2</v>
      </c>
      <c r="H228" s="55">
        <f t="shared" si="192"/>
        <v>0.2</v>
      </c>
      <c r="I228" s="55">
        <f t="shared" si="192"/>
        <v>0.2</v>
      </c>
      <c r="J228" s="55">
        <f t="shared" si="192"/>
        <v>0.2</v>
      </c>
      <c r="K228" s="55">
        <f t="shared" si="192"/>
        <v>0.2</v>
      </c>
      <c r="L228" s="55">
        <f t="shared" si="192"/>
        <v>0.2</v>
      </c>
      <c r="M228" s="55">
        <f t="shared" si="192"/>
        <v>0.2</v>
      </c>
      <c r="N228" s="55">
        <f t="shared" si="192"/>
        <v>0.2</v>
      </c>
      <c r="O228" s="55">
        <f t="shared" si="192"/>
        <v>0.2</v>
      </c>
      <c r="P228" s="55">
        <f t="shared" si="192"/>
        <v>0.2</v>
      </c>
      <c r="Q228" s="11"/>
      <c r="R228" s="11"/>
      <c r="S228" s="11"/>
      <c r="T228" s="11"/>
      <c r="U228" s="11"/>
      <c r="V228" s="11"/>
      <c r="W228" s="11"/>
    </row>
    <row r="229" spans="1:23" ht="12" hidden="1">
      <c r="A229" s="55" t="s">
        <v>57</v>
      </c>
      <c r="B229" s="55"/>
      <c r="C229" s="55"/>
      <c r="D229" s="55"/>
      <c r="E229" s="55"/>
      <c r="F229" s="55">
        <f aca="true" t="shared" si="193" ref="F229:P229">((E$16+($F$9/2))/F227)</f>
        <v>-2.19375</v>
      </c>
      <c r="G229" s="55">
        <f t="shared" si="193"/>
        <v>-1.2550000000000003</v>
      </c>
      <c r="H229" s="55">
        <f t="shared" si="193"/>
        <v>-0.3162499999999998</v>
      </c>
      <c r="I229" s="55">
        <f t="shared" si="193"/>
        <v>0.6224999999999998</v>
      </c>
      <c r="J229" s="55">
        <f t="shared" si="193"/>
        <v>1.5612499999999998</v>
      </c>
      <c r="K229" s="55">
        <f t="shared" si="193"/>
        <v>2.5</v>
      </c>
      <c r="L229" s="55">
        <f t="shared" si="193"/>
        <v>3.43875</v>
      </c>
      <c r="M229" s="55">
        <f t="shared" si="193"/>
        <v>4.3775</v>
      </c>
      <c r="N229" s="55">
        <f t="shared" si="193"/>
        <v>5.316249999999999</v>
      </c>
      <c r="O229" s="55">
        <f t="shared" si="193"/>
        <v>6.255000000000001</v>
      </c>
      <c r="P229" s="55">
        <f t="shared" si="193"/>
        <v>7.19375</v>
      </c>
      <c r="Q229" s="11"/>
      <c r="R229" s="11"/>
      <c r="S229" s="11"/>
      <c r="T229" s="11"/>
      <c r="U229" s="11"/>
      <c r="V229" s="11"/>
      <c r="W229" s="11"/>
    </row>
    <row r="230" spans="1:23" ht="12" hidden="1">
      <c r="A230" s="55" t="s">
        <v>58</v>
      </c>
      <c r="B230" s="55"/>
      <c r="C230" s="55"/>
      <c r="D230" s="55"/>
      <c r="E230" s="55"/>
      <c r="F230" s="55">
        <f aca="true" t="shared" si="194" ref="F230:P230">((E$16-($F$9/2))/F227)</f>
        <v>-7.19375</v>
      </c>
      <c r="G230" s="55">
        <f t="shared" si="194"/>
        <v>-6.255000000000001</v>
      </c>
      <c r="H230" s="55">
        <f t="shared" si="194"/>
        <v>-5.316249999999999</v>
      </c>
      <c r="I230" s="55">
        <f t="shared" si="194"/>
        <v>-4.3775</v>
      </c>
      <c r="J230" s="55">
        <f t="shared" si="194"/>
        <v>-3.43875</v>
      </c>
      <c r="K230" s="55">
        <f t="shared" si="194"/>
        <v>-2.5</v>
      </c>
      <c r="L230" s="55">
        <f t="shared" si="194"/>
        <v>-1.5612499999999998</v>
      </c>
      <c r="M230" s="55">
        <f t="shared" si="194"/>
        <v>-0.6224999999999998</v>
      </c>
      <c r="N230" s="55">
        <f t="shared" si="194"/>
        <v>0.3162499999999998</v>
      </c>
      <c r="O230" s="55">
        <f t="shared" si="194"/>
        <v>1.2550000000000003</v>
      </c>
      <c r="P230" s="55">
        <f t="shared" si="194"/>
        <v>2.19375</v>
      </c>
      <c r="Q230" s="11"/>
      <c r="R230" s="11"/>
      <c r="S230" s="11"/>
      <c r="T230" s="11"/>
      <c r="U230" s="11"/>
      <c r="V230" s="11"/>
      <c r="W230" s="11"/>
    </row>
    <row r="231" spans="1:23" ht="12" hidden="1">
      <c r="A231" s="55" t="s">
        <v>59</v>
      </c>
      <c r="B231" s="55"/>
      <c r="C231" s="55"/>
      <c r="D231" s="55"/>
      <c r="E231" s="55"/>
      <c r="F231" s="55">
        <f aca="true" t="shared" si="195" ref="F231:P231">($D$26+$G$9)/F228</f>
        <v>3.028999999999993</v>
      </c>
      <c r="G231" s="55">
        <f t="shared" si="195"/>
        <v>3.028999999999993</v>
      </c>
      <c r="H231" s="55">
        <f t="shared" si="195"/>
        <v>3.028999999999993</v>
      </c>
      <c r="I231" s="55">
        <f t="shared" si="195"/>
        <v>3.028999999999993</v>
      </c>
      <c r="J231" s="55">
        <f t="shared" si="195"/>
        <v>3.028999999999993</v>
      </c>
      <c r="K231" s="55">
        <f t="shared" si="195"/>
        <v>3.028999999999993</v>
      </c>
      <c r="L231" s="55">
        <f t="shared" si="195"/>
        <v>3.028999999999993</v>
      </c>
      <c r="M231" s="55">
        <f t="shared" si="195"/>
        <v>3.028999999999993</v>
      </c>
      <c r="N231" s="55">
        <f t="shared" si="195"/>
        <v>3.028999999999993</v>
      </c>
      <c r="O231" s="55">
        <f t="shared" si="195"/>
        <v>3.028999999999993</v>
      </c>
      <c r="P231" s="55">
        <f t="shared" si="195"/>
        <v>3.028999999999993</v>
      </c>
      <c r="Q231" s="11"/>
      <c r="R231" s="11"/>
      <c r="S231" s="11"/>
      <c r="T231" s="11"/>
      <c r="U231" s="11"/>
      <c r="V231" s="11"/>
      <c r="W231" s="11"/>
    </row>
    <row r="232" spans="1:23" ht="12" hidden="1">
      <c r="A232" s="55" t="s">
        <v>60</v>
      </c>
      <c r="B232" s="55"/>
      <c r="C232" s="55"/>
      <c r="D232" s="55"/>
      <c r="E232" s="55"/>
      <c r="F232" s="55">
        <f aca="true" t="shared" si="196" ref="F232:P232">($D$26-$G$9)/F228</f>
        <v>-96.971</v>
      </c>
      <c r="G232" s="55">
        <f t="shared" si="196"/>
        <v>-96.971</v>
      </c>
      <c r="H232" s="55">
        <f t="shared" si="196"/>
        <v>-96.971</v>
      </c>
      <c r="I232" s="55">
        <f t="shared" si="196"/>
        <v>-96.971</v>
      </c>
      <c r="J232" s="55">
        <f t="shared" si="196"/>
        <v>-96.971</v>
      </c>
      <c r="K232" s="55">
        <f t="shared" si="196"/>
        <v>-96.971</v>
      </c>
      <c r="L232" s="55">
        <f t="shared" si="196"/>
        <v>-96.971</v>
      </c>
      <c r="M232" s="55">
        <f t="shared" si="196"/>
        <v>-96.971</v>
      </c>
      <c r="N232" s="55">
        <f t="shared" si="196"/>
        <v>-96.971</v>
      </c>
      <c r="O232" s="55">
        <f t="shared" si="196"/>
        <v>-96.971</v>
      </c>
      <c r="P232" s="55">
        <f t="shared" si="196"/>
        <v>-96.971</v>
      </c>
      <c r="Q232" s="11"/>
      <c r="R232" s="11"/>
      <c r="S232" s="11"/>
      <c r="T232" s="11"/>
      <c r="U232" s="11"/>
      <c r="V232" s="11"/>
      <c r="W232" s="11"/>
    </row>
    <row r="233" spans="1:23" ht="12" hidden="1">
      <c r="A233" s="55" t="s">
        <v>61</v>
      </c>
      <c r="B233" s="55"/>
      <c r="C233" s="55"/>
      <c r="D233" s="55"/>
      <c r="E233" s="55"/>
      <c r="F233" s="55">
        <f aca="true" t="shared" si="197" ref="F233:P233">IF(F229&gt;3.5,1,IF(F229&gt;=0,ERF(F229),IF(F229&gt;-3.5,-ERF(ABS(F229)),-1)))</f>
        <v>-0.9980806171492725</v>
      </c>
      <c r="G233" s="55">
        <f t="shared" si="197"/>
        <v>-0.9240753635215959</v>
      </c>
      <c r="H233" s="55">
        <f t="shared" si="197"/>
        <v>-0.3453018547117728</v>
      </c>
      <c r="I233" s="55">
        <f t="shared" si="197"/>
        <v>0.6213291518057229</v>
      </c>
      <c r="J233" s="55">
        <f t="shared" si="197"/>
        <v>0.97275160844547</v>
      </c>
      <c r="K233" s="55">
        <f t="shared" si="197"/>
        <v>0.999593047982555</v>
      </c>
      <c r="L233" s="55">
        <f t="shared" si="197"/>
        <v>0.9999988445427717</v>
      </c>
      <c r="M233" s="55">
        <f t="shared" si="197"/>
        <v>1</v>
      </c>
      <c r="N233" s="55">
        <f t="shared" si="197"/>
        <v>1</v>
      </c>
      <c r="O233" s="55">
        <f t="shared" si="197"/>
        <v>1</v>
      </c>
      <c r="P233" s="55">
        <f t="shared" si="197"/>
        <v>1</v>
      </c>
      <c r="Q233" s="11"/>
      <c r="R233" s="11"/>
      <c r="S233" s="11"/>
      <c r="T233" s="11"/>
      <c r="U233" s="11"/>
      <c r="V233" s="11"/>
      <c r="W233" s="11"/>
    </row>
    <row r="234" spans="1:23" ht="12" hidden="1">
      <c r="A234" s="55" t="s">
        <v>62</v>
      </c>
      <c r="B234" s="55"/>
      <c r="C234" s="55"/>
      <c r="D234" s="55"/>
      <c r="E234" s="55"/>
      <c r="F234" s="55">
        <f aca="true" t="shared" si="198" ref="F234:P234">IF(F230&gt;3.5,1,IF(F230&gt;=0,ERF(F230),IF(F230&gt;-3.5,-ERF(ABS(F230)),-1)))</f>
        <v>-1</v>
      </c>
      <c r="G234" s="55">
        <f t="shared" si="198"/>
        <v>-1</v>
      </c>
      <c r="H234" s="55">
        <f t="shared" si="198"/>
        <v>-1</v>
      </c>
      <c r="I234" s="55">
        <f t="shared" si="198"/>
        <v>-1</v>
      </c>
      <c r="J234" s="55">
        <f t="shared" si="198"/>
        <v>-0.9999988445427717</v>
      </c>
      <c r="K234" s="55">
        <f t="shared" si="198"/>
        <v>-0.999593047982555</v>
      </c>
      <c r="L234" s="55">
        <f t="shared" si="198"/>
        <v>-0.97275160844547</v>
      </c>
      <c r="M234" s="55">
        <f t="shared" si="198"/>
        <v>-0.6213291518057229</v>
      </c>
      <c r="N234" s="55">
        <f t="shared" si="198"/>
        <v>0.3453018547117728</v>
      </c>
      <c r="O234" s="55">
        <f t="shared" si="198"/>
        <v>0.9240753635215959</v>
      </c>
      <c r="P234" s="55">
        <f t="shared" si="198"/>
        <v>0.9980806171492725</v>
      </c>
      <c r="Q234" s="11"/>
      <c r="R234" s="11"/>
      <c r="S234" s="11"/>
      <c r="T234" s="11"/>
      <c r="U234" s="11"/>
      <c r="V234" s="11"/>
      <c r="W234" s="11"/>
    </row>
    <row r="235" spans="1:23" ht="12" hidden="1">
      <c r="A235" s="55" t="s">
        <v>63</v>
      </c>
      <c r="B235" s="55"/>
      <c r="C235" s="55"/>
      <c r="D235" s="55"/>
      <c r="E235" s="55"/>
      <c r="F235" s="55">
        <f aca="true" t="shared" si="199" ref="F235:P235">IF(F231&gt;3.5,1,IF(F231&gt;=0,ERF(F231),IF(F231&gt;-3.5,-ERF(ABS(F231)),-1)))</f>
        <v>0.9999816150331684</v>
      </c>
      <c r="G235" s="55">
        <f t="shared" si="199"/>
        <v>0.9999816150331684</v>
      </c>
      <c r="H235" s="55">
        <f t="shared" si="199"/>
        <v>0.9999816150331684</v>
      </c>
      <c r="I235" s="55">
        <f t="shared" si="199"/>
        <v>0.9999816150331684</v>
      </c>
      <c r="J235" s="55">
        <f t="shared" si="199"/>
        <v>0.9999816150331684</v>
      </c>
      <c r="K235" s="55">
        <f t="shared" si="199"/>
        <v>0.9999816150331684</v>
      </c>
      <c r="L235" s="55">
        <f t="shared" si="199"/>
        <v>0.9999816150331684</v>
      </c>
      <c r="M235" s="55">
        <f t="shared" si="199"/>
        <v>0.9999816150331684</v>
      </c>
      <c r="N235" s="55">
        <f t="shared" si="199"/>
        <v>0.9999816150331684</v>
      </c>
      <c r="O235" s="55">
        <f t="shared" si="199"/>
        <v>0.9999816150331684</v>
      </c>
      <c r="P235" s="55">
        <f t="shared" si="199"/>
        <v>0.9999816150331684</v>
      </c>
      <c r="Q235" s="11"/>
      <c r="R235" s="11"/>
      <c r="S235" s="11"/>
      <c r="T235" s="11"/>
      <c r="U235" s="11"/>
      <c r="V235" s="11"/>
      <c r="W235" s="11"/>
    </row>
    <row r="236" spans="1:23" ht="12" hidden="1">
      <c r="A236" s="55" t="s">
        <v>64</v>
      </c>
      <c r="B236" s="55"/>
      <c r="C236" s="55"/>
      <c r="D236" s="55"/>
      <c r="E236" s="55"/>
      <c r="F236" s="55">
        <f aca="true" t="shared" si="200" ref="F236:P236">IF(F232&gt;3.5,1,IF(F232&gt;=0,ERF(F232),IF(F232&gt;-3.5,-ERF(ABS(F232)),-1)))</f>
        <v>-1</v>
      </c>
      <c r="G236" s="55">
        <f t="shared" si="200"/>
        <v>-1</v>
      </c>
      <c r="H236" s="55">
        <f t="shared" si="200"/>
        <v>-1</v>
      </c>
      <c r="I236" s="55">
        <f t="shared" si="200"/>
        <v>-1</v>
      </c>
      <c r="J236" s="55">
        <f t="shared" si="200"/>
        <v>-1</v>
      </c>
      <c r="K236" s="55">
        <f t="shared" si="200"/>
        <v>-1</v>
      </c>
      <c r="L236" s="55">
        <f t="shared" si="200"/>
        <v>-1</v>
      </c>
      <c r="M236" s="55">
        <f t="shared" si="200"/>
        <v>-1</v>
      </c>
      <c r="N236" s="55">
        <f t="shared" si="200"/>
        <v>-1</v>
      </c>
      <c r="O236" s="55">
        <f t="shared" si="200"/>
        <v>-1</v>
      </c>
      <c r="P236" s="55">
        <f t="shared" si="200"/>
        <v>-1</v>
      </c>
      <c r="Q236" s="55"/>
      <c r="R236" s="11"/>
      <c r="S236" s="11"/>
      <c r="T236" s="11"/>
      <c r="U236" s="11"/>
      <c r="V236" s="11"/>
      <c r="W236" s="11"/>
    </row>
    <row r="237" spans="1:23" ht="12" hidden="1">
      <c r="A237" s="57" t="s">
        <v>76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11"/>
      <c r="S237" s="11"/>
      <c r="T237" s="11"/>
      <c r="U237" s="11"/>
      <c r="V237" s="11"/>
      <c r="W237" s="11"/>
    </row>
    <row r="238" spans="1:23" ht="12" hidden="1">
      <c r="A238" s="55" t="s">
        <v>45</v>
      </c>
      <c r="B238" s="55"/>
      <c r="C238" s="55"/>
      <c r="D238" s="55"/>
      <c r="E238" s="55"/>
      <c r="F238" s="55">
        <f aca="true" t="shared" si="201" ref="F238:P238">$C$21/(2*$B$9)</f>
        <v>2.5</v>
      </c>
      <c r="G238" s="55">
        <f t="shared" si="201"/>
        <v>2.5</v>
      </c>
      <c r="H238" s="55">
        <f t="shared" si="201"/>
        <v>2.5</v>
      </c>
      <c r="I238" s="55">
        <f t="shared" si="201"/>
        <v>2.5</v>
      </c>
      <c r="J238" s="55">
        <f t="shared" si="201"/>
        <v>2.5</v>
      </c>
      <c r="K238" s="55">
        <f t="shared" si="201"/>
        <v>2.5</v>
      </c>
      <c r="L238" s="55">
        <f t="shared" si="201"/>
        <v>2.5</v>
      </c>
      <c r="M238" s="55">
        <f t="shared" si="201"/>
        <v>2.5</v>
      </c>
      <c r="N238" s="55">
        <f t="shared" si="201"/>
        <v>2.5</v>
      </c>
      <c r="O238" s="55">
        <f t="shared" si="201"/>
        <v>2.5</v>
      </c>
      <c r="P238" s="55">
        <f t="shared" si="201"/>
        <v>2.5</v>
      </c>
      <c r="Q238" s="55"/>
      <c r="R238" s="11"/>
      <c r="S238" s="11"/>
      <c r="T238" s="11"/>
      <c r="U238" s="11"/>
      <c r="V238" s="11"/>
      <c r="W238" s="11"/>
    </row>
    <row r="239" spans="1:23" ht="12" hidden="1">
      <c r="A239" s="55" t="s">
        <v>46</v>
      </c>
      <c r="B239" s="55"/>
      <c r="C239" s="55"/>
      <c r="D239" s="55"/>
      <c r="E239" s="55"/>
      <c r="F239" s="55">
        <f aca="true" t="shared" si="202" ref="F239:P239">1-(SQRT(1+(4*$E$9*$B$9)/$H$14))</f>
        <v>-0.5880806024884253</v>
      </c>
      <c r="G239" s="55">
        <f t="shared" si="202"/>
        <v>-0.5880806024884253</v>
      </c>
      <c r="H239" s="55">
        <f t="shared" si="202"/>
        <v>-0.5880806024884253</v>
      </c>
      <c r="I239" s="55">
        <f t="shared" si="202"/>
        <v>-0.5880806024884253</v>
      </c>
      <c r="J239" s="55">
        <f t="shared" si="202"/>
        <v>-0.5880806024884253</v>
      </c>
      <c r="K239" s="55">
        <f t="shared" si="202"/>
        <v>-0.5880806024884253</v>
      </c>
      <c r="L239" s="55">
        <f t="shared" si="202"/>
        <v>-0.5880806024884253</v>
      </c>
      <c r="M239" s="55">
        <f t="shared" si="202"/>
        <v>-0.5880806024884253</v>
      </c>
      <c r="N239" s="55">
        <f t="shared" si="202"/>
        <v>-0.5880806024884253</v>
      </c>
      <c r="O239" s="55">
        <f t="shared" si="202"/>
        <v>-0.5880806024884253</v>
      </c>
      <c r="P239" s="55">
        <f t="shared" si="202"/>
        <v>-0.5880806024884253</v>
      </c>
      <c r="Q239" s="55"/>
      <c r="R239" s="11"/>
      <c r="S239" s="11"/>
      <c r="T239" s="11"/>
      <c r="U239" s="11"/>
      <c r="V239" s="11"/>
      <c r="W239" s="11"/>
    </row>
    <row r="240" spans="1:23" ht="12" hidden="1">
      <c r="A240" s="55" t="s">
        <v>47</v>
      </c>
      <c r="B240" s="55"/>
      <c r="C240" s="55"/>
      <c r="D240" s="55" t="s">
        <v>48</v>
      </c>
      <c r="E240" s="55"/>
      <c r="F240" s="55">
        <f aca="true" t="shared" si="203" ref="F240:P240">EXP(F238*F239)</f>
        <v>0.22987915843879847</v>
      </c>
      <c r="G240" s="55">
        <f t="shared" si="203"/>
        <v>0.22987915843879847</v>
      </c>
      <c r="H240" s="55">
        <f t="shared" si="203"/>
        <v>0.22987915843879847</v>
      </c>
      <c r="I240" s="55">
        <f t="shared" si="203"/>
        <v>0.22987915843879847</v>
      </c>
      <c r="J240" s="55">
        <f t="shared" si="203"/>
        <v>0.22987915843879847</v>
      </c>
      <c r="K240" s="55">
        <f t="shared" si="203"/>
        <v>0.22987915843879847</v>
      </c>
      <c r="L240" s="55">
        <f t="shared" si="203"/>
        <v>0.22987915843879847</v>
      </c>
      <c r="M240" s="55">
        <f t="shared" si="203"/>
        <v>0.22987915843879847</v>
      </c>
      <c r="N240" s="55">
        <f t="shared" si="203"/>
        <v>0.22987915843879847</v>
      </c>
      <c r="O240" s="55">
        <f t="shared" si="203"/>
        <v>0.22987915843879847</v>
      </c>
      <c r="P240" s="55">
        <f t="shared" si="203"/>
        <v>0.22987915843879847</v>
      </c>
      <c r="Q240" s="55"/>
      <c r="R240" s="11"/>
      <c r="S240" s="11"/>
      <c r="T240" s="11"/>
      <c r="U240" s="11"/>
      <c r="V240" s="11"/>
      <c r="W240" s="11"/>
    </row>
    <row r="241" spans="1:23" ht="12" hidden="1">
      <c r="A241" s="55" t="s">
        <v>49</v>
      </c>
      <c r="B241" s="55"/>
      <c r="C241" s="55"/>
      <c r="D241" s="55"/>
      <c r="E241" s="55"/>
      <c r="F241" s="55">
        <f aca="true" t="shared" si="204" ref="F241:P241">$H$14*$H$9</f>
        <v>4.204993429697766E+97</v>
      </c>
      <c r="G241" s="55">
        <f t="shared" si="204"/>
        <v>4.204993429697766E+97</v>
      </c>
      <c r="H241" s="55">
        <f t="shared" si="204"/>
        <v>4.204993429697766E+97</v>
      </c>
      <c r="I241" s="55">
        <f t="shared" si="204"/>
        <v>4.204993429697766E+97</v>
      </c>
      <c r="J241" s="55">
        <f t="shared" si="204"/>
        <v>4.204993429697766E+97</v>
      </c>
      <c r="K241" s="55">
        <f t="shared" si="204"/>
        <v>4.204993429697766E+97</v>
      </c>
      <c r="L241" s="55">
        <f t="shared" si="204"/>
        <v>4.204993429697766E+97</v>
      </c>
      <c r="M241" s="55">
        <f t="shared" si="204"/>
        <v>4.204993429697766E+97</v>
      </c>
      <c r="N241" s="55">
        <f t="shared" si="204"/>
        <v>4.204993429697766E+97</v>
      </c>
      <c r="O241" s="55">
        <f t="shared" si="204"/>
        <v>4.204993429697766E+97</v>
      </c>
      <c r="P241" s="55">
        <f t="shared" si="204"/>
        <v>4.204993429697766E+97</v>
      </c>
      <c r="Q241" s="55"/>
      <c r="R241" s="11"/>
      <c r="S241" s="11"/>
      <c r="T241" s="11"/>
      <c r="U241" s="11"/>
      <c r="V241" s="11"/>
      <c r="W241" s="11"/>
    </row>
    <row r="242" spans="1:23" ht="12" hidden="1">
      <c r="A242" s="55" t="s">
        <v>50</v>
      </c>
      <c r="B242" s="55"/>
      <c r="C242" s="55"/>
      <c r="D242" s="55"/>
      <c r="E242" s="55"/>
      <c r="F242" s="55">
        <f aca="true" t="shared" si="205" ref="F242:P242">SQRT(1+(4*$E$9*$B$9/$H$14))</f>
        <v>1.5880806024884253</v>
      </c>
      <c r="G242" s="55">
        <f t="shared" si="205"/>
        <v>1.5880806024884253</v>
      </c>
      <c r="H242" s="55">
        <f t="shared" si="205"/>
        <v>1.5880806024884253</v>
      </c>
      <c r="I242" s="55">
        <f t="shared" si="205"/>
        <v>1.5880806024884253</v>
      </c>
      <c r="J242" s="55">
        <f t="shared" si="205"/>
        <v>1.5880806024884253</v>
      </c>
      <c r="K242" s="55">
        <f t="shared" si="205"/>
        <v>1.5880806024884253</v>
      </c>
      <c r="L242" s="55">
        <f t="shared" si="205"/>
        <v>1.5880806024884253</v>
      </c>
      <c r="M242" s="55">
        <f t="shared" si="205"/>
        <v>1.5880806024884253</v>
      </c>
      <c r="N242" s="55">
        <f t="shared" si="205"/>
        <v>1.5880806024884253</v>
      </c>
      <c r="O242" s="55">
        <f t="shared" si="205"/>
        <v>1.5880806024884253</v>
      </c>
      <c r="P242" s="55">
        <f t="shared" si="205"/>
        <v>1.5880806024884253</v>
      </c>
      <c r="Q242" s="55"/>
      <c r="R242" s="11"/>
      <c r="S242" s="11"/>
      <c r="T242" s="11"/>
      <c r="U242" s="11"/>
      <c r="V242" s="11"/>
      <c r="W242" s="11"/>
    </row>
    <row r="243" spans="1:23" ht="12" hidden="1">
      <c r="A243" s="55" t="s">
        <v>51</v>
      </c>
      <c r="B243" s="55"/>
      <c r="C243" s="55"/>
      <c r="D243" s="55"/>
      <c r="E243" s="55"/>
      <c r="F243" s="55">
        <f aca="true" t="shared" si="206" ref="F243:P243">($C$21-(F241*F242))/F244</f>
        <v>-1.1513575373063837E+48</v>
      </c>
      <c r="G243" s="55">
        <f t="shared" si="206"/>
        <v>-1.1513575373063837E+48</v>
      </c>
      <c r="H243" s="55">
        <f t="shared" si="206"/>
        <v>-1.1513575373063837E+48</v>
      </c>
      <c r="I243" s="55">
        <f t="shared" si="206"/>
        <v>-1.1513575373063837E+48</v>
      </c>
      <c r="J243" s="55">
        <f t="shared" si="206"/>
        <v>-1.1513575373063837E+48</v>
      </c>
      <c r="K243" s="55">
        <f t="shared" si="206"/>
        <v>-1.1513575373063837E+48</v>
      </c>
      <c r="L243" s="55">
        <f t="shared" si="206"/>
        <v>-1.1513575373063837E+48</v>
      </c>
      <c r="M243" s="55">
        <f t="shared" si="206"/>
        <v>-1.1513575373063837E+48</v>
      </c>
      <c r="N243" s="55">
        <f t="shared" si="206"/>
        <v>-1.1513575373063837E+48</v>
      </c>
      <c r="O243" s="55">
        <f t="shared" si="206"/>
        <v>-1.1513575373063837E+48</v>
      </c>
      <c r="P243" s="55">
        <f t="shared" si="206"/>
        <v>-1.1513575373063837E+48</v>
      </c>
      <c r="Q243" s="55"/>
      <c r="R243" s="11"/>
      <c r="S243" s="11"/>
      <c r="T243" s="11"/>
      <c r="U243" s="11"/>
      <c r="V243" s="11"/>
      <c r="W243" s="11"/>
    </row>
    <row r="244" spans="1:23" ht="12" hidden="1">
      <c r="A244" s="55" t="s">
        <v>52</v>
      </c>
      <c r="B244" s="55"/>
      <c r="C244" s="55"/>
      <c r="D244" s="55"/>
      <c r="E244" s="55"/>
      <c r="F244" s="55">
        <f aca="true" t="shared" si="207" ref="F244:P244">2*SQRT($B$9*$H$14*$H$9)</f>
        <v>5.79999546875531E+49</v>
      </c>
      <c r="G244" s="55">
        <f t="shared" si="207"/>
        <v>5.79999546875531E+49</v>
      </c>
      <c r="H244" s="55">
        <f t="shared" si="207"/>
        <v>5.79999546875531E+49</v>
      </c>
      <c r="I244" s="55">
        <f t="shared" si="207"/>
        <v>5.79999546875531E+49</v>
      </c>
      <c r="J244" s="55">
        <f t="shared" si="207"/>
        <v>5.79999546875531E+49</v>
      </c>
      <c r="K244" s="55">
        <f t="shared" si="207"/>
        <v>5.79999546875531E+49</v>
      </c>
      <c r="L244" s="55">
        <f t="shared" si="207"/>
        <v>5.79999546875531E+49</v>
      </c>
      <c r="M244" s="55">
        <f t="shared" si="207"/>
        <v>5.79999546875531E+49</v>
      </c>
      <c r="N244" s="55">
        <f t="shared" si="207"/>
        <v>5.79999546875531E+49</v>
      </c>
      <c r="O244" s="55">
        <f t="shared" si="207"/>
        <v>5.79999546875531E+49</v>
      </c>
      <c r="P244" s="55">
        <f t="shared" si="207"/>
        <v>5.79999546875531E+49</v>
      </c>
      <c r="Q244" s="55"/>
      <c r="R244" s="11"/>
      <c r="S244" s="11"/>
      <c r="T244" s="11"/>
      <c r="U244" s="11"/>
      <c r="V244" s="11"/>
      <c r="W244" s="11"/>
    </row>
    <row r="245" spans="1:23" ht="12" hidden="1">
      <c r="A245" s="55" t="s">
        <v>53</v>
      </c>
      <c r="B245" s="55"/>
      <c r="C245" s="55"/>
      <c r="D245" s="55"/>
      <c r="E245" s="55"/>
      <c r="F245" s="55">
        <f aca="true" t="shared" si="208" ref="F245:P245">(F242*F243)/F244</f>
        <v>-0.031525</v>
      </c>
      <c r="G245" s="55">
        <f t="shared" si="208"/>
        <v>-0.031525</v>
      </c>
      <c r="H245" s="55">
        <f t="shared" si="208"/>
        <v>-0.031525</v>
      </c>
      <c r="I245" s="55">
        <f t="shared" si="208"/>
        <v>-0.031525</v>
      </c>
      <c r="J245" s="55">
        <f t="shared" si="208"/>
        <v>-0.031525</v>
      </c>
      <c r="K245" s="55">
        <f t="shared" si="208"/>
        <v>-0.031525</v>
      </c>
      <c r="L245" s="55">
        <f t="shared" si="208"/>
        <v>-0.031525</v>
      </c>
      <c r="M245" s="55">
        <f t="shared" si="208"/>
        <v>-0.031525</v>
      </c>
      <c r="N245" s="55">
        <f t="shared" si="208"/>
        <v>-0.031525</v>
      </c>
      <c r="O245" s="55">
        <f t="shared" si="208"/>
        <v>-0.031525</v>
      </c>
      <c r="P245" s="55">
        <f t="shared" si="208"/>
        <v>-0.031525</v>
      </c>
      <c r="Q245" s="55"/>
      <c r="R245" s="11"/>
      <c r="S245" s="11"/>
      <c r="T245" s="11"/>
      <c r="U245" s="11"/>
      <c r="V245" s="11"/>
      <c r="W245" s="11"/>
    </row>
    <row r="246" spans="1:23" ht="12" hidden="1">
      <c r="A246" s="55" t="s">
        <v>54</v>
      </c>
      <c r="B246" s="55"/>
      <c r="C246" s="55"/>
      <c r="D246" s="55"/>
      <c r="E246" s="55"/>
      <c r="F246" s="55">
        <f aca="true" t="shared" si="209" ref="F246:P246">IF(F243&gt;10,0,IF(F243&gt;=0,ERFC(F243),IF(F243&lt;-3.75,2,1+ERF(ABS(F243)))))</f>
        <v>2</v>
      </c>
      <c r="G246" s="55">
        <f t="shared" si="209"/>
        <v>2</v>
      </c>
      <c r="H246" s="55">
        <f t="shared" si="209"/>
        <v>2</v>
      </c>
      <c r="I246" s="55">
        <f t="shared" si="209"/>
        <v>2</v>
      </c>
      <c r="J246" s="55">
        <f t="shared" si="209"/>
        <v>2</v>
      </c>
      <c r="K246" s="55">
        <f t="shared" si="209"/>
        <v>2</v>
      </c>
      <c r="L246" s="55">
        <f t="shared" si="209"/>
        <v>2</v>
      </c>
      <c r="M246" s="55">
        <f t="shared" si="209"/>
        <v>2</v>
      </c>
      <c r="N246" s="55">
        <f t="shared" si="209"/>
        <v>2</v>
      </c>
      <c r="O246" s="55">
        <f t="shared" si="209"/>
        <v>2</v>
      </c>
      <c r="P246" s="55">
        <f t="shared" si="209"/>
        <v>2</v>
      </c>
      <c r="Q246" s="55"/>
      <c r="R246" s="11"/>
      <c r="S246" s="11"/>
      <c r="T246" s="11"/>
      <c r="U246" s="11"/>
      <c r="V246" s="11"/>
      <c r="W246" s="11"/>
    </row>
    <row r="247" spans="1:23" ht="12" hidden="1">
      <c r="A247" s="55" t="s">
        <v>55</v>
      </c>
      <c r="B247" s="55"/>
      <c r="C247" s="55"/>
      <c r="D247" s="55"/>
      <c r="E247" s="55"/>
      <c r="F247" s="55">
        <f aca="true" t="shared" si="210" ref="F247:P247">2*SQRT($C$9*$C$21)</f>
        <v>20</v>
      </c>
      <c r="G247" s="55">
        <f t="shared" si="210"/>
        <v>20</v>
      </c>
      <c r="H247" s="55">
        <f t="shared" si="210"/>
        <v>20</v>
      </c>
      <c r="I247" s="55">
        <f t="shared" si="210"/>
        <v>20</v>
      </c>
      <c r="J247" s="55">
        <f t="shared" si="210"/>
        <v>20</v>
      </c>
      <c r="K247" s="55">
        <f t="shared" si="210"/>
        <v>20</v>
      </c>
      <c r="L247" s="55">
        <f t="shared" si="210"/>
        <v>20</v>
      </c>
      <c r="M247" s="55">
        <f t="shared" si="210"/>
        <v>20</v>
      </c>
      <c r="N247" s="55">
        <f t="shared" si="210"/>
        <v>20</v>
      </c>
      <c r="O247" s="55">
        <f t="shared" si="210"/>
        <v>20</v>
      </c>
      <c r="P247" s="55">
        <f t="shared" si="210"/>
        <v>20</v>
      </c>
      <c r="Q247" s="55"/>
      <c r="R247" s="11"/>
      <c r="S247" s="11"/>
      <c r="T247" s="11"/>
      <c r="U247" s="11"/>
      <c r="V247" s="11"/>
      <c r="W247" s="11"/>
    </row>
    <row r="248" spans="1:23" ht="12" hidden="1">
      <c r="A248" s="55" t="s">
        <v>56</v>
      </c>
      <c r="B248" s="55"/>
      <c r="C248" s="55"/>
      <c r="D248" s="55"/>
      <c r="E248" s="55"/>
      <c r="F248" s="55">
        <f aca="true" t="shared" si="211" ref="F248:P248">2*SQRT($D$9*$C$21)</f>
        <v>0.2</v>
      </c>
      <c r="G248" s="55">
        <f t="shared" si="211"/>
        <v>0.2</v>
      </c>
      <c r="H248" s="55">
        <f t="shared" si="211"/>
        <v>0.2</v>
      </c>
      <c r="I248" s="55">
        <f t="shared" si="211"/>
        <v>0.2</v>
      </c>
      <c r="J248" s="55">
        <f t="shared" si="211"/>
        <v>0.2</v>
      </c>
      <c r="K248" s="55">
        <f t="shared" si="211"/>
        <v>0.2</v>
      </c>
      <c r="L248" s="55">
        <f t="shared" si="211"/>
        <v>0.2</v>
      </c>
      <c r="M248" s="55">
        <f t="shared" si="211"/>
        <v>0.2</v>
      </c>
      <c r="N248" s="55">
        <f t="shared" si="211"/>
        <v>0.2</v>
      </c>
      <c r="O248" s="55">
        <f t="shared" si="211"/>
        <v>0.2</v>
      </c>
      <c r="P248" s="55">
        <f t="shared" si="211"/>
        <v>0.2</v>
      </c>
      <c r="Q248" s="55"/>
      <c r="R248" s="11"/>
      <c r="S248" s="11"/>
      <c r="T248" s="11"/>
      <c r="U248" s="11"/>
      <c r="V248" s="11"/>
      <c r="W248" s="11"/>
    </row>
    <row r="249" spans="1:23" ht="12" hidden="1">
      <c r="A249" s="55" t="s">
        <v>57</v>
      </c>
      <c r="B249" s="55"/>
      <c r="C249" s="55"/>
      <c r="D249" s="55"/>
      <c r="E249" s="55"/>
      <c r="F249" s="55">
        <f aca="true" t="shared" si="212" ref="F249:P249">((E$16+($F$9/2))/F247)</f>
        <v>-2.19375</v>
      </c>
      <c r="G249" s="55">
        <f t="shared" si="212"/>
        <v>-1.2550000000000003</v>
      </c>
      <c r="H249" s="55">
        <f t="shared" si="212"/>
        <v>-0.3162499999999998</v>
      </c>
      <c r="I249" s="55">
        <f t="shared" si="212"/>
        <v>0.6224999999999998</v>
      </c>
      <c r="J249" s="55">
        <f t="shared" si="212"/>
        <v>1.5612499999999998</v>
      </c>
      <c r="K249" s="55">
        <f t="shared" si="212"/>
        <v>2.5</v>
      </c>
      <c r="L249" s="55">
        <f t="shared" si="212"/>
        <v>3.43875</v>
      </c>
      <c r="M249" s="55">
        <f t="shared" si="212"/>
        <v>4.3775</v>
      </c>
      <c r="N249" s="55">
        <f t="shared" si="212"/>
        <v>5.316249999999999</v>
      </c>
      <c r="O249" s="55">
        <f t="shared" si="212"/>
        <v>6.255000000000001</v>
      </c>
      <c r="P249" s="55">
        <f t="shared" si="212"/>
        <v>7.19375</v>
      </c>
      <c r="Q249" s="55"/>
      <c r="R249" s="11"/>
      <c r="S249" s="11"/>
      <c r="T249" s="11"/>
      <c r="U249" s="11"/>
      <c r="V249" s="11"/>
      <c r="W249" s="11"/>
    </row>
    <row r="250" spans="1:23" ht="12" hidden="1">
      <c r="A250" s="55" t="s">
        <v>58</v>
      </c>
      <c r="B250" s="55"/>
      <c r="C250" s="55"/>
      <c r="D250" s="55"/>
      <c r="E250" s="55"/>
      <c r="F250" s="55">
        <f aca="true" t="shared" si="213" ref="F250:P250">((E$16-($F$9/2))/F247)</f>
        <v>-7.19375</v>
      </c>
      <c r="G250" s="55">
        <f t="shared" si="213"/>
        <v>-6.255000000000001</v>
      </c>
      <c r="H250" s="55">
        <f t="shared" si="213"/>
        <v>-5.316249999999999</v>
      </c>
      <c r="I250" s="55">
        <f t="shared" si="213"/>
        <v>-4.3775</v>
      </c>
      <c r="J250" s="55">
        <f t="shared" si="213"/>
        <v>-3.43875</v>
      </c>
      <c r="K250" s="55">
        <f t="shared" si="213"/>
        <v>-2.5</v>
      </c>
      <c r="L250" s="55">
        <f t="shared" si="213"/>
        <v>-1.5612499999999998</v>
      </c>
      <c r="M250" s="55">
        <f t="shared" si="213"/>
        <v>-0.6224999999999998</v>
      </c>
      <c r="N250" s="55">
        <f t="shared" si="213"/>
        <v>0.3162499999999998</v>
      </c>
      <c r="O250" s="55">
        <f t="shared" si="213"/>
        <v>1.2550000000000003</v>
      </c>
      <c r="P250" s="55">
        <f t="shared" si="213"/>
        <v>2.19375</v>
      </c>
      <c r="Q250" s="55"/>
      <c r="R250" s="11"/>
      <c r="S250" s="11"/>
      <c r="T250" s="11"/>
      <c r="U250" s="11"/>
      <c r="V250" s="11"/>
      <c r="W250" s="11"/>
    </row>
    <row r="251" spans="1:23" ht="12" hidden="1">
      <c r="A251" s="55" t="s">
        <v>59</v>
      </c>
      <c r="B251" s="55"/>
      <c r="C251" s="55"/>
      <c r="D251" s="55"/>
      <c r="E251" s="55"/>
      <c r="F251" s="55">
        <f aca="true" t="shared" si="214" ref="F251:P251">($D$27+$G$9)/F248</f>
        <v>-2.190000000000003</v>
      </c>
      <c r="G251" s="55">
        <f t="shared" si="214"/>
        <v>-2.190000000000003</v>
      </c>
      <c r="H251" s="55">
        <f t="shared" si="214"/>
        <v>-2.190000000000003</v>
      </c>
      <c r="I251" s="55">
        <f t="shared" si="214"/>
        <v>-2.190000000000003</v>
      </c>
      <c r="J251" s="55">
        <f t="shared" si="214"/>
        <v>-2.190000000000003</v>
      </c>
      <c r="K251" s="55">
        <f t="shared" si="214"/>
        <v>-2.190000000000003</v>
      </c>
      <c r="L251" s="55">
        <f t="shared" si="214"/>
        <v>-2.190000000000003</v>
      </c>
      <c r="M251" s="55">
        <f t="shared" si="214"/>
        <v>-2.190000000000003</v>
      </c>
      <c r="N251" s="55">
        <f t="shared" si="214"/>
        <v>-2.190000000000003</v>
      </c>
      <c r="O251" s="55">
        <f t="shared" si="214"/>
        <v>-2.190000000000003</v>
      </c>
      <c r="P251" s="55">
        <f t="shared" si="214"/>
        <v>-2.190000000000003</v>
      </c>
      <c r="Q251" s="55"/>
      <c r="R251" s="11"/>
      <c r="S251" s="11"/>
      <c r="T251" s="11"/>
      <c r="U251" s="11"/>
      <c r="V251" s="11"/>
      <c r="W251" s="11"/>
    </row>
    <row r="252" spans="1:23" ht="12" hidden="1">
      <c r="A252" s="55" t="s">
        <v>60</v>
      </c>
      <c r="B252" s="55"/>
      <c r="C252" s="55"/>
      <c r="D252" s="55"/>
      <c r="E252" s="55"/>
      <c r="F252" s="55">
        <f aca="true" t="shared" si="215" ref="F252:P252">($D$27-$G$9)/F248</f>
        <v>-102.19000000000001</v>
      </c>
      <c r="G252" s="55">
        <f t="shared" si="215"/>
        <v>-102.19000000000001</v>
      </c>
      <c r="H252" s="55">
        <f t="shared" si="215"/>
        <v>-102.19000000000001</v>
      </c>
      <c r="I252" s="55">
        <f t="shared" si="215"/>
        <v>-102.19000000000001</v>
      </c>
      <c r="J252" s="55">
        <f t="shared" si="215"/>
        <v>-102.19000000000001</v>
      </c>
      <c r="K252" s="55">
        <f t="shared" si="215"/>
        <v>-102.19000000000001</v>
      </c>
      <c r="L252" s="55">
        <f t="shared" si="215"/>
        <v>-102.19000000000001</v>
      </c>
      <c r="M252" s="55">
        <f t="shared" si="215"/>
        <v>-102.19000000000001</v>
      </c>
      <c r="N252" s="55">
        <f t="shared" si="215"/>
        <v>-102.19000000000001</v>
      </c>
      <c r="O252" s="55">
        <f t="shared" si="215"/>
        <v>-102.19000000000001</v>
      </c>
      <c r="P252" s="55">
        <f t="shared" si="215"/>
        <v>-102.19000000000001</v>
      </c>
      <c r="Q252" s="55"/>
      <c r="R252" s="11"/>
      <c r="S252" s="11"/>
      <c r="T252" s="11"/>
      <c r="U252" s="11"/>
      <c r="V252" s="11"/>
      <c r="W252" s="11"/>
    </row>
    <row r="253" spans="1:23" ht="12" hidden="1">
      <c r="A253" s="55" t="s">
        <v>61</v>
      </c>
      <c r="B253" s="55"/>
      <c r="C253" s="55"/>
      <c r="D253" s="55"/>
      <c r="E253" s="55"/>
      <c r="F253" s="55">
        <f aca="true" t="shared" si="216" ref="F253:P253">IF(F249&gt;3.5,1,IF(F249&gt;=0,ERF(F249),IF(F249&gt;-3.5,-ERF(ABS(F249)),-1)))</f>
        <v>-0.9980806171492725</v>
      </c>
      <c r="G253" s="55">
        <f t="shared" si="216"/>
        <v>-0.9240753635215959</v>
      </c>
      <c r="H253" s="55">
        <f t="shared" si="216"/>
        <v>-0.3453018547117728</v>
      </c>
      <c r="I253" s="55">
        <f t="shared" si="216"/>
        <v>0.6213291518057229</v>
      </c>
      <c r="J253" s="55">
        <f t="shared" si="216"/>
        <v>0.97275160844547</v>
      </c>
      <c r="K253" s="55">
        <f t="shared" si="216"/>
        <v>0.999593047982555</v>
      </c>
      <c r="L253" s="55">
        <f t="shared" si="216"/>
        <v>0.9999988445427717</v>
      </c>
      <c r="M253" s="55">
        <f t="shared" si="216"/>
        <v>1</v>
      </c>
      <c r="N253" s="55">
        <f t="shared" si="216"/>
        <v>1</v>
      </c>
      <c r="O253" s="55">
        <f t="shared" si="216"/>
        <v>1</v>
      </c>
      <c r="P253" s="55">
        <f t="shared" si="216"/>
        <v>1</v>
      </c>
      <c r="Q253" s="55"/>
      <c r="R253" s="11"/>
      <c r="S253" s="11"/>
      <c r="T253" s="11"/>
      <c r="U253" s="11"/>
      <c r="V253" s="11"/>
      <c r="W253" s="11"/>
    </row>
    <row r="254" spans="1:23" ht="12" hidden="1">
      <c r="A254" s="55" t="s">
        <v>62</v>
      </c>
      <c r="B254" s="55"/>
      <c r="C254" s="55"/>
      <c r="D254" s="55"/>
      <c r="E254" s="55"/>
      <c r="F254" s="55">
        <f aca="true" t="shared" si="217" ref="F254:P254">IF(F250&gt;3.5,1,IF(F250&gt;=0,ERF(F250),IF(F250&gt;-3.5,-ERF(ABS(F250)),-1)))</f>
        <v>-1</v>
      </c>
      <c r="G254" s="55">
        <f t="shared" si="217"/>
        <v>-1</v>
      </c>
      <c r="H254" s="55">
        <f t="shared" si="217"/>
        <v>-1</v>
      </c>
      <c r="I254" s="55">
        <f t="shared" si="217"/>
        <v>-1</v>
      </c>
      <c r="J254" s="55">
        <f t="shared" si="217"/>
        <v>-0.9999988445427717</v>
      </c>
      <c r="K254" s="55">
        <f t="shared" si="217"/>
        <v>-0.999593047982555</v>
      </c>
      <c r="L254" s="55">
        <f t="shared" si="217"/>
        <v>-0.97275160844547</v>
      </c>
      <c r="M254" s="55">
        <f t="shared" si="217"/>
        <v>-0.6213291518057229</v>
      </c>
      <c r="N254" s="55">
        <f t="shared" si="217"/>
        <v>0.3453018547117728</v>
      </c>
      <c r="O254" s="55">
        <f t="shared" si="217"/>
        <v>0.9240753635215959</v>
      </c>
      <c r="P254" s="55">
        <f t="shared" si="217"/>
        <v>0.9980806171492725</v>
      </c>
      <c r="Q254" s="55"/>
      <c r="R254" s="11"/>
      <c r="S254" s="11"/>
      <c r="T254" s="11"/>
      <c r="U254" s="11"/>
      <c r="V254" s="11"/>
      <c r="W254" s="11"/>
    </row>
    <row r="255" spans="1:23" ht="12" hidden="1">
      <c r="A255" s="55" t="s">
        <v>63</v>
      </c>
      <c r="B255" s="55"/>
      <c r="C255" s="55"/>
      <c r="D255" s="55"/>
      <c r="E255" s="55"/>
      <c r="F255" s="55">
        <f aca="true" t="shared" si="218" ref="F255:P255">IF(F251&gt;3.5,1,IF(F251&gt;=0,ERF(F251),IF(F251&gt;-3.5,-ERF(ABS(F251)),-1)))</f>
        <v>-0.9980459432428015</v>
      </c>
      <c r="G255" s="55">
        <f t="shared" si="218"/>
        <v>-0.9980459432428015</v>
      </c>
      <c r="H255" s="55">
        <f t="shared" si="218"/>
        <v>-0.9980459432428015</v>
      </c>
      <c r="I255" s="55">
        <f t="shared" si="218"/>
        <v>-0.9980459432428015</v>
      </c>
      <c r="J255" s="55">
        <f t="shared" si="218"/>
        <v>-0.9980459432428015</v>
      </c>
      <c r="K255" s="55">
        <f t="shared" si="218"/>
        <v>-0.9980459432428015</v>
      </c>
      <c r="L255" s="55">
        <f t="shared" si="218"/>
        <v>-0.9980459432428015</v>
      </c>
      <c r="M255" s="55">
        <f t="shared" si="218"/>
        <v>-0.9980459432428015</v>
      </c>
      <c r="N255" s="55">
        <f t="shared" si="218"/>
        <v>-0.9980459432428015</v>
      </c>
      <c r="O255" s="55">
        <f t="shared" si="218"/>
        <v>-0.9980459432428015</v>
      </c>
      <c r="P255" s="55">
        <f t="shared" si="218"/>
        <v>-0.9980459432428015</v>
      </c>
      <c r="Q255" s="11"/>
      <c r="R255" s="11"/>
      <c r="S255" s="11"/>
      <c r="T255" s="11"/>
      <c r="U255" s="11"/>
      <c r="V255" s="11"/>
      <c r="W255" s="11"/>
    </row>
    <row r="256" spans="1:23" ht="12" hidden="1">
      <c r="A256" s="55" t="s">
        <v>64</v>
      </c>
      <c r="B256" s="55"/>
      <c r="C256" s="55"/>
      <c r="D256" s="55"/>
      <c r="E256" s="55"/>
      <c r="F256" s="55">
        <f aca="true" t="shared" si="219" ref="F256:P256">IF(F252&gt;3.5,1,IF(F252&gt;=0,ERF(F252),IF(F252&gt;-3.5,-ERF(ABS(F252)),-1)))</f>
        <v>-1</v>
      </c>
      <c r="G256" s="55">
        <f t="shared" si="219"/>
        <v>-1</v>
      </c>
      <c r="H256" s="55">
        <f t="shared" si="219"/>
        <v>-1</v>
      </c>
      <c r="I256" s="55">
        <f t="shared" si="219"/>
        <v>-1</v>
      </c>
      <c r="J256" s="55">
        <f t="shared" si="219"/>
        <v>-1</v>
      </c>
      <c r="K256" s="55">
        <f t="shared" si="219"/>
        <v>-1</v>
      </c>
      <c r="L256" s="55">
        <f t="shared" si="219"/>
        <v>-1</v>
      </c>
      <c r="M256" s="55">
        <f t="shared" si="219"/>
        <v>-1</v>
      </c>
      <c r="N256" s="55">
        <f t="shared" si="219"/>
        <v>-1</v>
      </c>
      <c r="O256" s="55">
        <f t="shared" si="219"/>
        <v>-1</v>
      </c>
      <c r="P256" s="55">
        <f t="shared" si="219"/>
        <v>-1</v>
      </c>
      <c r="Q256" s="11"/>
      <c r="R256" s="11"/>
      <c r="S256" s="11"/>
      <c r="T256" s="11"/>
      <c r="U256" s="11"/>
      <c r="V256" s="11"/>
      <c r="W256" s="11"/>
    </row>
    <row r="257" ht="12" hidden="1"/>
    <row r="258" ht="12" hidden="1"/>
    <row r="259" spans="1:3" ht="12" hidden="1">
      <c r="A259" t="s">
        <v>77</v>
      </c>
      <c r="B259">
        <f>A14*B14*(C22/10)*(C23/10)*28.32</f>
        <v>10.65593875968</v>
      </c>
      <c r="C259" t="s">
        <v>84</v>
      </c>
    </row>
    <row r="260" spans="1:2" ht="12" hidden="1">
      <c r="A260" s="16" t="s">
        <v>78</v>
      </c>
      <c r="B260" s="46">
        <f>COUNTIF(E18:I27,"&gt;.0009")+(COUNTIF(K18:O27,"&gt;.0009"))</f>
        <v>94</v>
      </c>
    </row>
    <row r="261" spans="1:2" ht="12" hidden="1">
      <c r="A261" s="16" t="s">
        <v>79</v>
      </c>
      <c r="B261" s="24">
        <f>SUM(E17:O27)</f>
        <v>146.94051364049957</v>
      </c>
    </row>
    <row r="262" ht="12" hidden="1"/>
    <row r="278" spans="18:20" ht="12">
      <c r="R278" s="1"/>
      <c r="S278" s="1"/>
      <c r="T278" s="1"/>
    </row>
    <row r="279" spans="18:20" ht="12">
      <c r="R279" s="1"/>
      <c r="S279" s="1"/>
      <c r="T279" s="1"/>
    </row>
    <row r="280" spans="18:20" ht="12">
      <c r="R280" s="1"/>
      <c r="S280" s="1"/>
      <c r="T280" s="1"/>
    </row>
    <row r="281" spans="18:20" ht="12">
      <c r="R281" s="1"/>
      <c r="S281" s="1"/>
      <c r="T281" s="1"/>
    </row>
    <row r="282" spans="18:20" ht="12">
      <c r="R282" s="1"/>
      <c r="S282" s="1"/>
      <c r="T282" s="1"/>
    </row>
    <row r="283" spans="18:20" ht="12">
      <c r="R283" s="1"/>
      <c r="S283" s="1"/>
      <c r="T283" s="1"/>
    </row>
    <row r="284" spans="18:20" ht="12">
      <c r="R284" s="1"/>
      <c r="S284" s="1"/>
      <c r="T284" s="1"/>
    </row>
    <row r="285" spans="18:20" ht="12">
      <c r="R285" s="1"/>
      <c r="S285" s="1"/>
      <c r="T285" s="1"/>
    </row>
    <row r="286" spans="18:20" ht="12">
      <c r="R286" s="1"/>
      <c r="S286" s="1"/>
      <c r="T286" s="1"/>
    </row>
    <row r="287" spans="18:20" ht="12">
      <c r="R287" s="1"/>
      <c r="S287" s="1"/>
      <c r="T287" s="1"/>
    </row>
    <row r="288" spans="18:20" ht="12">
      <c r="R288" s="1"/>
      <c r="S288" s="1"/>
      <c r="T288" s="1"/>
    </row>
    <row r="289" spans="18:20" ht="12">
      <c r="R289" s="1"/>
      <c r="S289" s="1"/>
      <c r="T289" s="1"/>
    </row>
    <row r="290" spans="18:20" ht="12">
      <c r="R290" s="1"/>
      <c r="S290" s="1"/>
      <c r="T290" s="1"/>
    </row>
    <row r="291" spans="18:20" ht="12">
      <c r="R291" s="1"/>
      <c r="S291" s="1"/>
      <c r="T291" s="1"/>
    </row>
    <row r="292" spans="18:20" ht="12">
      <c r="R292" s="1"/>
      <c r="S292" s="1"/>
      <c r="T292" s="1"/>
    </row>
    <row r="293" spans="18:20" ht="12">
      <c r="R293" s="1"/>
      <c r="S293" s="1"/>
      <c r="T293" s="1"/>
    </row>
    <row r="294" spans="18:20" ht="12">
      <c r="R294" s="1"/>
      <c r="S294" s="1"/>
      <c r="T294" s="1"/>
    </row>
    <row r="295" spans="18:20" ht="12">
      <c r="R295" s="1"/>
      <c r="S295" s="1"/>
      <c r="T295" s="1"/>
    </row>
    <row r="296" spans="18:20" ht="12">
      <c r="R296" s="1"/>
      <c r="S296" s="1"/>
      <c r="T296" s="1"/>
    </row>
  </sheetData>
  <sheetProtection password="E711" sheet="1" objects="1" scenarios="1"/>
  <mergeCells count="1">
    <mergeCell ref="H33:I33"/>
  </mergeCells>
  <printOptions gridLines="1" horizontalCentered="1" verticalCentered="1"/>
  <pageMargins left="0.75" right="0.75" top="1" bottom="1" header="0.5" footer="0.5"/>
  <pageSetup horizontalDpi="600" verticalDpi="600" orientation="landscape" r:id="rId5"/>
  <headerFooter alignWithMargins="0">
    <oddHeader>&amp;L&amp;"Arial,Bold"&amp;8 2600-FM-BECB0024    Rev. 8/2019
&amp;G&amp;C&amp;"Arial,Bold"&amp;8COMMONWEALTH OF PENNSYLVANIA
DEPARTMENT OF ENVIRONMENTAL PROTECTION
BUREAU OF ENVIRONMENTAL CLEANUP AND BROWNFIELDS
</oddHeader>
    <oddFooter>&amp;CPage &amp;P</oddFooter>
  </headerFooter>
  <rowBreaks count="1" manualBreakCount="1">
    <brk id="33" max="65535" man="1"/>
  </rowBreaks>
  <drawing r:id="rId3"/>
  <legacyDrawing r:id="rId2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for Estimating Stream Loading from Groundwater</dc:title>
  <dc:subject>GW TO SW CONTAMINANT LOADING</dc:subject>
  <dc:creator>John P. Stephenson - February 8, 2002</dc:creator>
  <cp:keywords/>
  <dc:description/>
  <cp:lastModifiedBy>Build</cp:lastModifiedBy>
  <cp:lastPrinted>2019-08-13T13:04:19Z</cp:lastPrinted>
  <dcterms:created xsi:type="dcterms:W3CDTF">1997-11-03T18:06:40Z</dcterms:created>
  <dcterms:modified xsi:type="dcterms:W3CDTF">2019-08-13T13:05:17Z</dcterms:modified>
  <cp:category/>
  <cp:version/>
  <cp:contentType/>
  <cp:contentStatus/>
</cp:coreProperties>
</file>